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D:\РАБОТА\ФИНПЛАНЫ КНП\финпланы 2025\"/>
    </mc:Choice>
  </mc:AlternateContent>
  <xr:revisionPtr revIDLastSave="0" documentId="13_ncr:1_{9E6C73F6-7D13-4CD8-8B11-25221E6558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додаток 1 " sheetId="1" r:id="rId1"/>
    <sheet name="додаток 2- звіт" sheetId="2" state="hidden" r:id="rId2"/>
  </sheets>
  <externalReferences>
    <externalReference r:id="rId3"/>
    <externalReference r:id="rId4"/>
  </externalReferences>
  <definedNames>
    <definedName name="__xlnm.Print_Titles">'додаток 1 '!$32:$32</definedName>
    <definedName name="_xlnm.Print_Titles" localSheetId="0">'додаток 1 '!$30:$32</definedName>
    <definedName name="_xlnm.Print_Titles" localSheetId="1">'додаток 2- звіт'!$30:$32</definedName>
    <definedName name="_xlnm.Print_Area" localSheetId="0">'додаток 1 '!$A$1:$K$176</definedName>
  </definedNames>
  <calcPr calcId="181029"/>
</workbook>
</file>

<file path=xl/calcChain.xml><?xml version="1.0" encoding="utf-8"?>
<calcChain xmlns="http://schemas.openxmlformats.org/spreadsheetml/2006/main">
  <c r="G36" i="1" l="1"/>
  <c r="H36" i="1"/>
  <c r="I36" i="1"/>
  <c r="J36" i="1"/>
  <c r="G98" i="1" l="1"/>
  <c r="H100" i="1" l="1"/>
  <c r="J97" i="1"/>
  <c r="I97" i="1"/>
  <c r="H97" i="1"/>
  <c r="G97" i="1"/>
  <c r="J40" i="1" l="1"/>
  <c r="I40" i="1"/>
  <c r="H40" i="1"/>
  <c r="G40" i="1"/>
  <c r="D149" i="1" l="1"/>
  <c r="D167" i="1"/>
  <c r="D104" i="1"/>
  <c r="D88" i="1"/>
  <c r="D70" i="1" l="1"/>
  <c r="U47" i="2" l="1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4" i="2"/>
  <c r="U65" i="2"/>
  <c r="T47" i="2"/>
  <c r="T48" i="2"/>
  <c r="T49" i="2"/>
  <c r="T50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O51" i="2"/>
  <c r="T51" i="2" s="1"/>
  <c r="P51" i="2"/>
  <c r="P46" i="2" s="1"/>
  <c r="T46" i="2" s="1"/>
  <c r="O50" i="2"/>
  <c r="L50" i="2" s="1"/>
  <c r="L48" i="2"/>
  <c r="L49" i="2"/>
  <c r="L51" i="2"/>
  <c r="L52" i="2"/>
  <c r="L53" i="2"/>
  <c r="L54" i="2"/>
  <c r="L55" i="2"/>
  <c r="L56" i="2"/>
  <c r="L57" i="2"/>
  <c r="L58" i="2"/>
  <c r="L59" i="2"/>
  <c r="L60" i="2"/>
  <c r="L61" i="2"/>
  <c r="L62" i="2"/>
  <c r="L64" i="2"/>
  <c r="L65" i="2"/>
  <c r="L47" i="2"/>
  <c r="S46" i="2"/>
  <c r="R46" i="2"/>
  <c r="Q63" i="2"/>
  <c r="U63" i="2" s="1"/>
  <c r="Q46" i="2"/>
  <c r="U46" i="2" s="1"/>
  <c r="O46" i="2"/>
  <c r="N46" i="2"/>
  <c r="D40" i="1"/>
  <c r="L63" i="2" l="1"/>
  <c r="L46" i="2" s="1"/>
  <c r="I138" i="2"/>
  <c r="E138" i="2"/>
  <c r="I137" i="2"/>
  <c r="E137" i="2"/>
  <c r="I136" i="2"/>
  <c r="E136" i="2"/>
  <c r="I135" i="2"/>
  <c r="E135" i="2"/>
  <c r="I134" i="2"/>
  <c r="E134" i="2"/>
  <c r="I133" i="2"/>
  <c r="E133" i="2"/>
  <c r="H132" i="2"/>
  <c r="G132" i="2"/>
  <c r="I132" i="2" s="1"/>
  <c r="D132" i="2"/>
  <c r="C132" i="2"/>
  <c r="H131" i="2"/>
  <c r="G131" i="2"/>
  <c r="D131" i="2"/>
  <c r="C131" i="2"/>
  <c r="H130" i="2"/>
  <c r="G130" i="2"/>
  <c r="D130" i="2"/>
  <c r="C130" i="2"/>
  <c r="C129" i="2"/>
  <c r="C128" i="2"/>
  <c r="C127" i="2"/>
  <c r="C126" i="2"/>
  <c r="J124" i="2"/>
  <c r="I124" i="2"/>
  <c r="F124" i="2"/>
  <c r="E124" i="2"/>
  <c r="J123" i="2"/>
  <c r="I123" i="2"/>
  <c r="F123" i="2"/>
  <c r="E123" i="2"/>
  <c r="H122" i="2"/>
  <c r="H129" i="2" s="1"/>
  <c r="G122" i="2"/>
  <c r="G129" i="2" s="1"/>
  <c r="D122" i="2"/>
  <c r="D129" i="2" s="1"/>
  <c r="F129" i="2" s="1"/>
  <c r="H121" i="2"/>
  <c r="H128" i="2" s="1"/>
  <c r="G121" i="2"/>
  <c r="G128" i="2" s="1"/>
  <c r="E121" i="2"/>
  <c r="D121" i="2"/>
  <c r="F121" i="2" s="1"/>
  <c r="H120" i="2"/>
  <c r="H127" i="2" s="1"/>
  <c r="G120" i="2"/>
  <c r="G127" i="2" s="1"/>
  <c r="D120" i="2"/>
  <c r="E120" i="2" s="1"/>
  <c r="H119" i="2"/>
  <c r="G119" i="2"/>
  <c r="G126" i="2" s="1"/>
  <c r="D119" i="2"/>
  <c r="F119" i="2" s="1"/>
  <c r="C118" i="2"/>
  <c r="J117" i="2"/>
  <c r="I117" i="2"/>
  <c r="F117" i="2"/>
  <c r="E117" i="2"/>
  <c r="J116" i="2"/>
  <c r="I116" i="2"/>
  <c r="F116" i="2"/>
  <c r="E116" i="2"/>
  <c r="J115" i="2"/>
  <c r="I115" i="2"/>
  <c r="F115" i="2"/>
  <c r="E115" i="2"/>
  <c r="J114" i="2"/>
  <c r="I114" i="2"/>
  <c r="F114" i="2"/>
  <c r="E114" i="2"/>
  <c r="J113" i="2"/>
  <c r="I113" i="2"/>
  <c r="F113" i="2"/>
  <c r="E113" i="2"/>
  <c r="J112" i="2"/>
  <c r="I112" i="2"/>
  <c r="F112" i="2"/>
  <c r="E112" i="2"/>
  <c r="H111" i="2"/>
  <c r="G111" i="2"/>
  <c r="I111" i="2" s="1"/>
  <c r="D111" i="2"/>
  <c r="C111" i="2"/>
  <c r="H107" i="2"/>
  <c r="G107" i="2"/>
  <c r="I107" i="2" s="1"/>
  <c r="J106" i="2"/>
  <c r="I106" i="2"/>
  <c r="D106" i="2"/>
  <c r="D107" i="2" s="1"/>
  <c r="C106" i="2"/>
  <c r="C107" i="2" s="1"/>
  <c r="J105" i="2"/>
  <c r="I105" i="2"/>
  <c r="F105" i="2"/>
  <c r="E105" i="2"/>
  <c r="G103" i="2"/>
  <c r="I103" i="2" s="1"/>
  <c r="C103" i="2"/>
  <c r="F103" i="2" s="1"/>
  <c r="H97" i="2"/>
  <c r="J97" i="2" s="1"/>
  <c r="F97" i="2"/>
  <c r="E97" i="2"/>
  <c r="H96" i="2"/>
  <c r="I96" i="2" s="1"/>
  <c r="F96" i="2"/>
  <c r="E96" i="2"/>
  <c r="H95" i="2"/>
  <c r="J95" i="2" s="1"/>
  <c r="G95" i="2"/>
  <c r="F95" i="2"/>
  <c r="E95" i="2"/>
  <c r="H94" i="2"/>
  <c r="J94" i="2" s="1"/>
  <c r="G94" i="2"/>
  <c r="F94" i="2"/>
  <c r="E94" i="2"/>
  <c r="D93" i="2"/>
  <c r="E93" i="2" s="1"/>
  <c r="J92" i="2"/>
  <c r="I92" i="2"/>
  <c r="F92" i="2"/>
  <c r="E92" i="2"/>
  <c r="J91" i="2"/>
  <c r="I91" i="2"/>
  <c r="F91" i="2"/>
  <c r="E91" i="2"/>
  <c r="H90" i="2"/>
  <c r="G90" i="2"/>
  <c r="I90" i="2" s="1"/>
  <c r="F90" i="2"/>
  <c r="E90" i="2"/>
  <c r="H89" i="2"/>
  <c r="G89" i="2"/>
  <c r="G88" i="2" s="1"/>
  <c r="F89" i="2"/>
  <c r="E89" i="2"/>
  <c r="F88" i="2"/>
  <c r="E88" i="2"/>
  <c r="G86" i="2"/>
  <c r="J86" i="2" s="1"/>
  <c r="F86" i="2"/>
  <c r="E86" i="2"/>
  <c r="H85" i="2"/>
  <c r="G85" i="2"/>
  <c r="F85" i="2"/>
  <c r="E85" i="2"/>
  <c r="H84" i="2"/>
  <c r="G84" i="2"/>
  <c r="F84" i="2"/>
  <c r="E84" i="2"/>
  <c r="H83" i="2"/>
  <c r="G83" i="2"/>
  <c r="I83" i="2" s="1"/>
  <c r="F83" i="2"/>
  <c r="E83" i="2"/>
  <c r="J82" i="2"/>
  <c r="I82" i="2"/>
  <c r="F82" i="2"/>
  <c r="E82" i="2"/>
  <c r="J81" i="2"/>
  <c r="I81" i="2"/>
  <c r="F81" i="2"/>
  <c r="E81" i="2"/>
  <c r="J80" i="2"/>
  <c r="I80" i="2"/>
  <c r="F80" i="2"/>
  <c r="E80" i="2"/>
  <c r="D79" i="2"/>
  <c r="C79" i="2"/>
  <c r="J78" i="2"/>
  <c r="I78" i="2"/>
  <c r="F78" i="2"/>
  <c r="E78" i="2"/>
  <c r="H77" i="2"/>
  <c r="J77" i="2" s="1"/>
  <c r="G77" i="2"/>
  <c r="D77" i="2"/>
  <c r="C77" i="2"/>
  <c r="H75" i="2"/>
  <c r="J75" i="2" s="1"/>
  <c r="G75" i="2"/>
  <c r="F75" i="2"/>
  <c r="E75" i="2"/>
  <c r="H74" i="2"/>
  <c r="J74" i="2" s="1"/>
  <c r="G74" i="2"/>
  <c r="F74" i="2"/>
  <c r="E74" i="2"/>
  <c r="G73" i="2"/>
  <c r="I73" i="2" s="1"/>
  <c r="C73" i="2"/>
  <c r="E73" i="2" s="1"/>
  <c r="G72" i="2"/>
  <c r="J72" i="2" s="1"/>
  <c r="C72" i="2"/>
  <c r="F72" i="2" s="1"/>
  <c r="C66" i="2"/>
  <c r="G65" i="2"/>
  <c r="C65" i="2"/>
  <c r="J64" i="2"/>
  <c r="I64" i="2"/>
  <c r="F64" i="2"/>
  <c r="E64" i="2"/>
  <c r="J63" i="2"/>
  <c r="I63" i="2"/>
  <c r="F63" i="2"/>
  <c r="E63" i="2"/>
  <c r="G62" i="2"/>
  <c r="I62" i="2" s="1"/>
  <c r="C62" i="2"/>
  <c r="E62" i="2" s="1"/>
  <c r="J61" i="2"/>
  <c r="I61" i="2"/>
  <c r="F61" i="2"/>
  <c r="E61" i="2"/>
  <c r="H60" i="2"/>
  <c r="G60" i="2"/>
  <c r="I60" i="2" s="1"/>
  <c r="E60" i="2"/>
  <c r="G59" i="2"/>
  <c r="J59" i="2" s="1"/>
  <c r="C59" i="2"/>
  <c r="E59" i="2" s="1"/>
  <c r="H58" i="2"/>
  <c r="G58" i="2"/>
  <c r="I58" i="2" s="1"/>
  <c r="E58" i="2"/>
  <c r="G57" i="2"/>
  <c r="I57" i="2" s="1"/>
  <c r="C57" i="2"/>
  <c r="F57" i="2" s="1"/>
  <c r="G56" i="2"/>
  <c r="J56" i="2" s="1"/>
  <c r="C56" i="2"/>
  <c r="E56" i="2" s="1"/>
  <c r="G55" i="2"/>
  <c r="I55" i="2" s="1"/>
  <c r="C55" i="2"/>
  <c r="E55" i="2" s="1"/>
  <c r="H54" i="2"/>
  <c r="G54" i="2"/>
  <c r="D54" i="2"/>
  <c r="C54" i="2"/>
  <c r="G53" i="2"/>
  <c r="J53" i="2" s="1"/>
  <c r="C53" i="2"/>
  <c r="E53" i="2" s="1"/>
  <c r="G52" i="2"/>
  <c r="I52" i="2" s="1"/>
  <c r="F52" i="2"/>
  <c r="C52" i="2"/>
  <c r="E52" i="2" s="1"/>
  <c r="G51" i="2"/>
  <c r="J51" i="2" s="1"/>
  <c r="C51" i="2"/>
  <c r="E51" i="2" s="1"/>
  <c r="G50" i="2"/>
  <c r="I50" i="2" s="1"/>
  <c r="C50" i="2"/>
  <c r="F50" i="2" s="1"/>
  <c r="G49" i="2"/>
  <c r="J49" i="2" s="1"/>
  <c r="C49" i="2"/>
  <c r="E49" i="2" s="1"/>
  <c r="G48" i="2"/>
  <c r="I48" i="2" s="1"/>
  <c r="C48" i="2"/>
  <c r="F48" i="2" s="1"/>
  <c r="G47" i="2"/>
  <c r="J47" i="2" s="1"/>
  <c r="C47" i="2"/>
  <c r="E47" i="2" s="1"/>
  <c r="H46" i="2"/>
  <c r="D46" i="2"/>
  <c r="J45" i="2"/>
  <c r="I45" i="2"/>
  <c r="F45" i="2"/>
  <c r="E45" i="2"/>
  <c r="G44" i="2"/>
  <c r="I44" i="2" s="1"/>
  <c r="C44" i="2"/>
  <c r="E44" i="2" s="1"/>
  <c r="G43" i="2"/>
  <c r="J43" i="2" s="1"/>
  <c r="C43" i="2"/>
  <c r="E43" i="2" s="1"/>
  <c r="G42" i="2"/>
  <c r="I42" i="2" s="1"/>
  <c r="C42" i="2"/>
  <c r="F42" i="2" s="1"/>
  <c r="H41" i="2"/>
  <c r="H39" i="2" s="1"/>
  <c r="H34" i="2" s="1"/>
  <c r="G41" i="2"/>
  <c r="C41" i="2"/>
  <c r="E41" i="2" s="1"/>
  <c r="J40" i="2"/>
  <c r="G40" i="2"/>
  <c r="I40" i="2" s="1"/>
  <c r="C40" i="2"/>
  <c r="F40" i="2" s="1"/>
  <c r="D39" i="2"/>
  <c r="D34" i="2" s="1"/>
  <c r="G38" i="2"/>
  <c r="I38" i="2" s="1"/>
  <c r="F38" i="2"/>
  <c r="E38" i="2"/>
  <c r="G37" i="2"/>
  <c r="J37" i="2" s="1"/>
  <c r="C37" i="2"/>
  <c r="E37" i="2" s="1"/>
  <c r="G36" i="2"/>
  <c r="I36" i="2" s="1"/>
  <c r="C36" i="2"/>
  <c r="F36" i="2" s="1"/>
  <c r="G35" i="2"/>
  <c r="J35" i="2" s="1"/>
  <c r="C35" i="2"/>
  <c r="E35" i="2" s="1"/>
  <c r="J57" i="2" l="1"/>
  <c r="I74" i="2"/>
  <c r="E111" i="2"/>
  <c r="D128" i="2"/>
  <c r="F128" i="2" s="1"/>
  <c r="H118" i="2"/>
  <c r="H125" i="2" s="1"/>
  <c r="J119" i="2"/>
  <c r="D126" i="2"/>
  <c r="F126" i="2" s="1"/>
  <c r="F41" i="2"/>
  <c r="E42" i="2"/>
  <c r="F77" i="2"/>
  <c r="F79" i="2"/>
  <c r="H79" i="2"/>
  <c r="J79" i="2" s="1"/>
  <c r="E119" i="2"/>
  <c r="F130" i="2"/>
  <c r="F131" i="2"/>
  <c r="I127" i="2"/>
  <c r="F44" i="2"/>
  <c r="F55" i="2"/>
  <c r="E107" i="2"/>
  <c r="F106" i="2"/>
  <c r="C125" i="2"/>
  <c r="F120" i="2"/>
  <c r="J120" i="2"/>
  <c r="H126" i="2"/>
  <c r="J126" i="2" s="1"/>
  <c r="D127" i="2"/>
  <c r="F127" i="2" s="1"/>
  <c r="E36" i="2"/>
  <c r="I43" i="2"/>
  <c r="G46" i="2"/>
  <c r="J46" i="2" s="1"/>
  <c r="J48" i="2"/>
  <c r="E50" i="2"/>
  <c r="F54" i="2"/>
  <c r="J54" i="2"/>
  <c r="F62" i="2"/>
  <c r="F73" i="2"/>
  <c r="I75" i="2"/>
  <c r="E77" i="2"/>
  <c r="I77" i="2"/>
  <c r="E79" i="2"/>
  <c r="J83" i="2"/>
  <c r="I84" i="2"/>
  <c r="J85" i="2"/>
  <c r="J90" i="2"/>
  <c r="I95" i="2"/>
  <c r="J103" i="2"/>
  <c r="J107" i="2"/>
  <c r="F111" i="2"/>
  <c r="J111" i="2"/>
  <c r="D118" i="2"/>
  <c r="D125" i="2" s="1"/>
  <c r="I119" i="2"/>
  <c r="I120" i="2"/>
  <c r="I129" i="2"/>
  <c r="E126" i="2"/>
  <c r="E127" i="2"/>
  <c r="E130" i="2"/>
  <c r="I130" i="2"/>
  <c r="E131" i="2"/>
  <c r="I131" i="2"/>
  <c r="E132" i="2"/>
  <c r="F107" i="2"/>
  <c r="C39" i="2"/>
  <c r="F39" i="2" s="1"/>
  <c r="E40" i="2"/>
  <c r="J42" i="2"/>
  <c r="J44" i="2"/>
  <c r="E48" i="2"/>
  <c r="J55" i="2"/>
  <c r="E57" i="2"/>
  <c r="I72" i="2"/>
  <c r="J84" i="2"/>
  <c r="J89" i="2"/>
  <c r="E103" i="2"/>
  <c r="I128" i="2"/>
  <c r="J127" i="2"/>
  <c r="J130" i="2"/>
  <c r="J131" i="2"/>
  <c r="C46" i="2"/>
  <c r="F46" i="2" s="1"/>
  <c r="J52" i="2"/>
  <c r="J62" i="2"/>
  <c r="G79" i="2"/>
  <c r="I85" i="2"/>
  <c r="E128" i="2"/>
  <c r="H93" i="2"/>
  <c r="J93" i="2" s="1"/>
  <c r="J36" i="2"/>
  <c r="G39" i="2"/>
  <c r="I39" i="2" s="1"/>
  <c r="J50" i="2"/>
  <c r="E72" i="2"/>
  <c r="I94" i="2"/>
  <c r="E106" i="2"/>
  <c r="J128" i="2"/>
  <c r="J129" i="2"/>
  <c r="E129" i="2"/>
  <c r="G34" i="2"/>
  <c r="I34" i="2" s="1"/>
  <c r="I37" i="2"/>
  <c r="F35" i="2"/>
  <c r="F37" i="2"/>
  <c r="J38" i="2"/>
  <c r="J39" i="2"/>
  <c r="F43" i="2"/>
  <c r="E46" i="2"/>
  <c r="F47" i="2"/>
  <c r="F49" i="2"/>
  <c r="F51" i="2"/>
  <c r="F53" i="2"/>
  <c r="F56" i="2"/>
  <c r="F59" i="2"/>
  <c r="J73" i="2"/>
  <c r="F93" i="2"/>
  <c r="J96" i="2"/>
  <c r="I97" i="2"/>
  <c r="E122" i="2"/>
  <c r="I122" i="2"/>
  <c r="G68" i="2"/>
  <c r="C69" i="2"/>
  <c r="G69" i="2"/>
  <c r="I121" i="2"/>
  <c r="F122" i="2"/>
  <c r="J122" i="2"/>
  <c r="I47" i="2"/>
  <c r="I49" i="2"/>
  <c r="I51" i="2"/>
  <c r="I53" i="2"/>
  <c r="E54" i="2"/>
  <c r="I54" i="2"/>
  <c r="I56" i="2"/>
  <c r="I59" i="2"/>
  <c r="D68" i="2"/>
  <c r="H68" i="2"/>
  <c r="D69" i="2"/>
  <c r="F69" i="2" s="1"/>
  <c r="H69" i="2"/>
  <c r="I86" i="2"/>
  <c r="I89" i="2"/>
  <c r="G118" i="2"/>
  <c r="J121" i="2"/>
  <c r="I35" i="2"/>
  <c r="H88" i="2"/>
  <c r="J88" i="2" s="1"/>
  <c r="F125" i="2" l="1"/>
  <c r="J118" i="2"/>
  <c r="I69" i="2"/>
  <c r="I93" i="2"/>
  <c r="E118" i="2"/>
  <c r="I79" i="2"/>
  <c r="F118" i="2"/>
  <c r="C68" i="2"/>
  <c r="F68" i="2" s="1"/>
  <c r="I46" i="2"/>
  <c r="E125" i="2"/>
  <c r="I126" i="2"/>
  <c r="E39" i="2"/>
  <c r="C34" i="2"/>
  <c r="J34" i="2"/>
  <c r="H70" i="2"/>
  <c r="J68" i="2"/>
  <c r="E69" i="2"/>
  <c r="D70" i="2"/>
  <c r="G70" i="2"/>
  <c r="I68" i="2"/>
  <c r="I88" i="2"/>
  <c r="G125" i="2"/>
  <c r="I118" i="2"/>
  <c r="J69" i="2"/>
  <c r="E68" i="2" l="1"/>
  <c r="C70" i="2"/>
  <c r="E34" i="2"/>
  <c r="F34" i="2"/>
  <c r="I125" i="2"/>
  <c r="J125" i="2"/>
  <c r="J136" i="1" l="1"/>
  <c r="I136" i="1"/>
  <c r="H136" i="1"/>
  <c r="E167" i="1"/>
  <c r="E154" i="1"/>
  <c r="E149" i="1"/>
  <c r="H167" i="1"/>
  <c r="I167" i="1"/>
  <c r="J167" i="1"/>
  <c r="H154" i="1"/>
  <c r="I154" i="1"/>
  <c r="J154" i="1"/>
  <c r="G136" i="1"/>
  <c r="H133" i="1"/>
  <c r="I133" i="1"/>
  <c r="J133" i="1"/>
  <c r="G133" i="1"/>
  <c r="H132" i="1"/>
  <c r="I132" i="1"/>
  <c r="J132" i="1"/>
  <c r="G132" i="1"/>
  <c r="F136" i="1" l="1"/>
  <c r="B34" i="1"/>
  <c r="B35" i="1" s="1"/>
  <c r="B36" i="1" s="1"/>
  <c r="B37" i="1" s="1"/>
  <c r="B38" i="1" s="1"/>
  <c r="B39" i="1" s="1"/>
  <c r="B40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F36" i="1"/>
  <c r="D37" i="1"/>
  <c r="E37" i="1"/>
  <c r="G37" i="1"/>
  <c r="H37" i="1"/>
  <c r="I37" i="1"/>
  <c r="J37" i="1"/>
  <c r="F38" i="1"/>
  <c r="F39" i="1"/>
  <c r="F40" i="1"/>
  <c r="F41" i="1"/>
  <c r="F42" i="1"/>
  <c r="F43" i="1"/>
  <c r="D44" i="1"/>
  <c r="E44" i="1"/>
  <c r="G44" i="1"/>
  <c r="H44" i="1"/>
  <c r="I44" i="1"/>
  <c r="J44" i="1"/>
  <c r="F45" i="1"/>
  <c r="F46" i="1"/>
  <c r="F47" i="1"/>
  <c r="F48" i="1"/>
  <c r="F49" i="1"/>
  <c r="F50" i="1"/>
  <c r="F51" i="1"/>
  <c r="F65" i="1"/>
  <c r="F66" i="1"/>
  <c r="D67" i="1"/>
  <c r="E67" i="1"/>
  <c r="G67" i="1"/>
  <c r="H67" i="1"/>
  <c r="I67" i="1"/>
  <c r="J67" i="1"/>
  <c r="F68" i="1"/>
  <c r="F69" i="1"/>
  <c r="F70" i="1"/>
  <c r="F71" i="1"/>
  <c r="F72" i="1"/>
  <c r="F73" i="1"/>
  <c r="F74" i="1"/>
  <c r="D75" i="1"/>
  <c r="E75" i="1"/>
  <c r="G75" i="1"/>
  <c r="H75" i="1"/>
  <c r="I75" i="1"/>
  <c r="J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D94" i="1"/>
  <c r="E94" i="1"/>
  <c r="G94" i="1"/>
  <c r="H94" i="1"/>
  <c r="I94" i="1"/>
  <c r="J94" i="1"/>
  <c r="B95" i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F95" i="1"/>
  <c r="F96" i="1"/>
  <c r="F97" i="1"/>
  <c r="F98" i="1"/>
  <c r="F99" i="1"/>
  <c r="F100" i="1"/>
  <c r="F101" i="1"/>
  <c r="F102" i="1"/>
  <c r="F103" i="1"/>
  <c r="F104" i="1"/>
  <c r="D106" i="1"/>
  <c r="E106" i="1"/>
  <c r="G106" i="1"/>
  <c r="H106" i="1"/>
  <c r="I106" i="1"/>
  <c r="J106" i="1"/>
  <c r="F107" i="1"/>
  <c r="F108" i="1"/>
  <c r="F109" i="1"/>
  <c r="F110" i="1"/>
  <c r="F111" i="1"/>
  <c r="F112" i="1"/>
  <c r="F113" i="1"/>
  <c r="F114" i="1"/>
  <c r="F115" i="1"/>
  <c r="F116" i="1"/>
  <c r="D117" i="1"/>
  <c r="E117" i="1"/>
  <c r="G117" i="1"/>
  <c r="H117" i="1"/>
  <c r="I117" i="1"/>
  <c r="J117" i="1"/>
  <c r="F118" i="1"/>
  <c r="F119" i="1"/>
  <c r="F120" i="1"/>
  <c r="F121" i="1"/>
  <c r="F122" i="1"/>
  <c r="D123" i="1"/>
  <c r="E123" i="1"/>
  <c r="G123" i="1"/>
  <c r="H123" i="1"/>
  <c r="I123" i="1"/>
  <c r="J123" i="1"/>
  <c r="F124" i="1"/>
  <c r="F125" i="1"/>
  <c r="F126" i="1"/>
  <c r="D131" i="1"/>
  <c r="G131" i="1"/>
  <c r="H131" i="1"/>
  <c r="I131" i="1"/>
  <c r="J131" i="1"/>
  <c r="F132" i="1"/>
  <c r="F133" i="1"/>
  <c r="F134" i="1"/>
  <c r="F135" i="1"/>
  <c r="D136" i="1"/>
  <c r="E136" i="1"/>
  <c r="F139" i="1"/>
  <c r="F140" i="1"/>
  <c r="F141" i="1"/>
  <c r="F142" i="1"/>
  <c r="F143" i="1"/>
  <c r="F144" i="1"/>
  <c r="F145" i="1"/>
  <c r="F146" i="1"/>
  <c r="G149" i="1"/>
  <c r="H149" i="1"/>
  <c r="I149" i="1"/>
  <c r="J149" i="1"/>
  <c r="F150" i="1"/>
  <c r="F151" i="1"/>
  <c r="F152" i="1"/>
  <c r="F153" i="1"/>
  <c r="G154" i="1"/>
  <c r="F155" i="1"/>
  <c r="F156" i="1"/>
  <c r="F157" i="1"/>
  <c r="F158" i="1"/>
  <c r="F167" i="1"/>
  <c r="G167" i="1"/>
  <c r="G34" i="1" l="1"/>
  <c r="G128" i="1" s="1"/>
  <c r="D105" i="1"/>
  <c r="D64" i="1"/>
  <c r="D34" i="1"/>
  <c r="D128" i="1" s="1"/>
  <c r="E105" i="1"/>
  <c r="E64" i="1"/>
  <c r="E34" i="1"/>
  <c r="E128" i="1" s="1"/>
  <c r="F154" i="1"/>
  <c r="F149" i="1"/>
  <c r="F131" i="1"/>
  <c r="F123" i="1"/>
  <c r="F117" i="1"/>
  <c r="J105" i="1"/>
  <c r="I105" i="1"/>
  <c r="H105" i="1"/>
  <c r="G105" i="1"/>
  <c r="F106" i="1"/>
  <c r="H64" i="1"/>
  <c r="J64" i="1"/>
  <c r="F37" i="1"/>
  <c r="J34" i="1"/>
  <c r="J128" i="1" s="1"/>
  <c r="F67" i="1"/>
  <c r="H34" i="1"/>
  <c r="H128" i="1" s="1"/>
  <c r="F94" i="1"/>
  <c r="I64" i="1"/>
  <c r="F75" i="1"/>
  <c r="G64" i="1"/>
  <c r="F44" i="1"/>
  <c r="I34" i="1"/>
  <c r="I128" i="1" s="1"/>
  <c r="D52" i="1" l="1"/>
  <c r="D129" i="1" s="1"/>
  <c r="I52" i="1"/>
  <c r="I129" i="1" s="1"/>
  <c r="I130" i="1" s="1"/>
  <c r="E52" i="1"/>
  <c r="E129" i="1" s="1"/>
  <c r="E130" i="1" s="1"/>
  <c r="D130" i="1"/>
  <c r="G52" i="1"/>
  <c r="G129" i="1" s="1"/>
  <c r="G130" i="1" s="1"/>
  <c r="H52" i="1"/>
  <c r="H129" i="1" s="1"/>
  <c r="H130" i="1" s="1"/>
  <c r="F105" i="1"/>
  <c r="J52" i="1"/>
  <c r="J129" i="1" s="1"/>
  <c r="J130" i="1" s="1"/>
  <c r="F64" i="1"/>
  <c r="F34" i="1"/>
  <c r="F128" i="1" s="1"/>
  <c r="F52" i="1" l="1"/>
  <c r="F129" i="1" s="1"/>
  <c r="F130" i="1" s="1"/>
</calcChain>
</file>

<file path=xl/sharedStrings.xml><?xml version="1.0" encoding="utf-8"?>
<sst xmlns="http://schemas.openxmlformats.org/spreadsheetml/2006/main" count="485" uniqueCount="334">
  <si>
    <t>Додаток 1</t>
  </si>
  <si>
    <t>ЗАТВЕРДЖЕНО</t>
  </si>
  <si>
    <t xml:space="preserve">                         </t>
  </si>
  <si>
    <t>Проект</t>
  </si>
  <si>
    <t>Х</t>
  </si>
  <si>
    <t>Попередній</t>
  </si>
  <si>
    <t>Уточнений</t>
  </si>
  <si>
    <t>Зміни</t>
  </si>
  <si>
    <t>зробити позначку "Х"</t>
  </si>
  <si>
    <t>Рік</t>
  </si>
  <si>
    <t>Коди</t>
  </si>
  <si>
    <t>Назва підприємства</t>
  </si>
  <si>
    <t>за ЄДРПОУ</t>
  </si>
  <si>
    <t>Організаційно-правова форма</t>
  </si>
  <si>
    <t>за КОПФГ</t>
  </si>
  <si>
    <t>Територія</t>
  </si>
  <si>
    <t>за КОАТУУ</t>
  </si>
  <si>
    <t>Орган державного управління</t>
  </si>
  <si>
    <t>за СПОДУ</t>
  </si>
  <si>
    <t>Галузь</t>
  </si>
  <si>
    <t>за ЗКГНГ</t>
  </si>
  <si>
    <t>Вид економічної діяльності</t>
  </si>
  <si>
    <t>за КВЕД</t>
  </si>
  <si>
    <t>Одиниця виміру</t>
  </si>
  <si>
    <t>Форма власності</t>
  </si>
  <si>
    <t>Середньооблікова кількість штатних працівників</t>
  </si>
  <si>
    <t>Місцезнаходження</t>
  </si>
  <si>
    <t>Телефон</t>
  </si>
  <si>
    <t>Прізвище та ініціали керівника</t>
  </si>
  <si>
    <t>тис. грн.</t>
  </si>
  <si>
    <t>Найменування показника</t>
  </si>
  <si>
    <t>Номер рядка</t>
  </si>
  <si>
    <t xml:space="preserve">Код рядка </t>
  </si>
  <si>
    <t xml:space="preserve">У тому числі за кварталами </t>
  </si>
  <si>
    <t>Пояснення та обґрунтування до запланованого рівня доходів/витрат</t>
  </si>
  <si>
    <t xml:space="preserve">І  </t>
  </si>
  <si>
    <t xml:space="preserve">ІІ  </t>
  </si>
  <si>
    <t xml:space="preserve">ІІІ  </t>
  </si>
  <si>
    <t xml:space="preserve">ІV </t>
  </si>
  <si>
    <t>I. Формування фінансових результатів</t>
  </si>
  <si>
    <t>Доходи</t>
  </si>
  <si>
    <t>Медична субвенція з державного бюджету</t>
  </si>
  <si>
    <t xml:space="preserve">Доходи за Договором з Національною службою здоров'я України </t>
  </si>
  <si>
    <t>Дохід з місцевого бюджету, в т.ч.:</t>
  </si>
  <si>
    <t xml:space="preserve">            відшкодування вартості комунальних послуг</t>
  </si>
  <si>
    <t>1040.1</t>
  </si>
  <si>
    <t xml:space="preserve">            капітальні видатки</t>
  </si>
  <si>
    <t>1040.2</t>
  </si>
  <si>
    <t xml:space="preserve">            інші програми</t>
  </si>
  <si>
    <t>1040.3</t>
  </si>
  <si>
    <t>Спеціалізована стаціонарна медична допомога населенню</t>
  </si>
  <si>
    <t>Програми і централізовані заходи боротьби з туберкульозом</t>
  </si>
  <si>
    <t>Надходження з обласного бюджету на виконання обласних цільових програм</t>
  </si>
  <si>
    <t>Інші доходи, у т.ч.:</t>
  </si>
  <si>
    <t>дохід від операційної оренди активів</t>
  </si>
  <si>
    <t>1060.1</t>
  </si>
  <si>
    <t>дохід від реалізації необоротних активів</t>
  </si>
  <si>
    <t>1060.2</t>
  </si>
  <si>
    <t>інші доходи у сфері охорони здоров'я (резерв)</t>
  </si>
  <si>
    <t>1060.3</t>
  </si>
  <si>
    <t>дохід (виручка) від реалізації продукції (товарів, робіт, послуг)</t>
  </si>
  <si>
    <t>1060.4</t>
  </si>
  <si>
    <t>інші джерела власних надходжень</t>
  </si>
  <si>
    <t>1060.5</t>
  </si>
  <si>
    <t>окремі заходи з реалізації державних (обласних) програм</t>
  </si>
  <si>
    <t>1060.6</t>
  </si>
  <si>
    <t>виконання інвестиційних проектів в рамках здійснення заходів щодо соціально-економічного розвитку окремих територій</t>
  </si>
  <si>
    <t>1060.7</t>
  </si>
  <si>
    <t>Видатки, в т.ч.:</t>
  </si>
  <si>
    <t xml:space="preserve">Медичної субвенції </t>
  </si>
  <si>
    <t>Заробітна плата</t>
  </si>
  <si>
    <t>1080.1</t>
  </si>
  <si>
    <t>Нарахування на оплату праці</t>
  </si>
  <si>
    <t>1080.2</t>
  </si>
  <si>
    <t>Предмети, матеріали, обладнання та інвентар</t>
  </si>
  <si>
    <t>1080.3</t>
  </si>
  <si>
    <t>Медикаменти та перев'язувальні матеріали</t>
  </si>
  <si>
    <t>1080.4</t>
  </si>
  <si>
    <t>Продукти харчування</t>
  </si>
  <si>
    <t>1080.5</t>
  </si>
  <si>
    <t>Оплата послуг (крім комунальних)</t>
  </si>
  <si>
    <t>1080.6</t>
  </si>
  <si>
    <t>Видатки на відрядження</t>
  </si>
  <si>
    <t>1080.7</t>
  </si>
  <si>
    <t>Виплата пенсій і допомог</t>
  </si>
  <si>
    <t>1080.8</t>
  </si>
  <si>
    <t xml:space="preserve">Інші виплати населенню </t>
  </si>
  <si>
    <t>1080.9</t>
  </si>
  <si>
    <t>Інші  видатки</t>
  </si>
  <si>
    <t>1080.10</t>
  </si>
  <si>
    <t xml:space="preserve">Видатки за Договорами НСЗУ </t>
  </si>
  <si>
    <t>1090.1</t>
  </si>
  <si>
    <t>1090.2</t>
  </si>
  <si>
    <t>1090.3</t>
  </si>
  <si>
    <t>витратні матеріали, апаратура (маловартісна)</t>
  </si>
  <si>
    <t>1090.3.1</t>
  </si>
  <si>
    <t>господарські товари та інвентар</t>
  </si>
  <si>
    <t>1090.3.2</t>
  </si>
  <si>
    <t>паливно-мастильні матеріали, автозапчастини</t>
  </si>
  <si>
    <t>1090.3.3</t>
  </si>
  <si>
    <t>канцелярські товари, офісне приладдя та устаткування, бланки</t>
  </si>
  <si>
    <t>1090.3.4</t>
  </si>
  <si>
    <t>інше</t>
  </si>
  <si>
    <t>1090.3.5</t>
  </si>
  <si>
    <t>1090.4</t>
  </si>
  <si>
    <t>1090.5</t>
  </si>
  <si>
    <t>1090.6</t>
  </si>
  <si>
    <t>лабораторні дослідження (цитологічні, гістологічні, інші)</t>
  </si>
  <si>
    <t>1090.6.1</t>
  </si>
  <si>
    <t>вивезення біовідходів</t>
  </si>
  <si>
    <t>1090.6.2</t>
  </si>
  <si>
    <t>повірка, поточні ремонти обладнання, транспортних засобів</t>
  </si>
  <si>
    <t>1090.6.3</t>
  </si>
  <si>
    <t>поточний ремонт приміщень</t>
  </si>
  <si>
    <t>1090.6.4</t>
  </si>
  <si>
    <t>страхові послуги</t>
  </si>
  <si>
    <t>1090.6.5</t>
  </si>
  <si>
    <t>витрати на придбання і супровід програмного забезпечення, зв'язок і інтернет</t>
  </si>
  <si>
    <t>1090.6.6</t>
  </si>
  <si>
    <t>доступ до медичної інформаційної системи</t>
  </si>
  <si>
    <t>юридичні та нотаріальні послуги</t>
  </si>
  <si>
    <t>1090.6.7</t>
  </si>
  <si>
    <t>витрати на охорону праці та навчання працівників</t>
  </si>
  <si>
    <t>1090.6.8</t>
  </si>
  <si>
    <t>обслуговування ліфтів, послуги охорони, сигналізація</t>
  </si>
  <si>
    <t>1090.6.9</t>
  </si>
  <si>
    <t>дератизаційні роботи</t>
  </si>
  <si>
    <t>1090.6.10</t>
  </si>
  <si>
    <t>поводження з медичними відходами</t>
  </si>
  <si>
    <t>Інше</t>
  </si>
  <si>
    <t>1090.7</t>
  </si>
  <si>
    <t>1090.8</t>
  </si>
  <si>
    <t>1090.9</t>
  </si>
  <si>
    <t>1090.10</t>
  </si>
  <si>
    <t>Капітальні видатки (НСЗУ)</t>
  </si>
  <si>
    <t>Інші видатки</t>
  </si>
  <si>
    <t>1110.1</t>
  </si>
  <si>
    <t>1110.2</t>
  </si>
  <si>
    <t>1110.3</t>
  </si>
  <si>
    <t>1110.4</t>
  </si>
  <si>
    <t>1110.5</t>
  </si>
  <si>
    <t>1110.6</t>
  </si>
  <si>
    <t>1110.7</t>
  </si>
  <si>
    <t>1110.8</t>
  </si>
  <si>
    <t>1110.9</t>
  </si>
  <si>
    <t>1110.10</t>
  </si>
  <si>
    <t>Видатки з місцевого бюджету, в т.ч.:</t>
  </si>
  <si>
    <t xml:space="preserve">Інші програми </t>
  </si>
  <si>
    <t>1130.1</t>
  </si>
  <si>
    <t>1130.2</t>
  </si>
  <si>
    <t>1130.3</t>
  </si>
  <si>
    <t>1130.4</t>
  </si>
  <si>
    <t>1130.5</t>
  </si>
  <si>
    <t>1130.6</t>
  </si>
  <si>
    <t>1130.7</t>
  </si>
  <si>
    <t>1130.8</t>
  </si>
  <si>
    <t>1130.9</t>
  </si>
  <si>
    <t>1130.10</t>
  </si>
  <si>
    <t>1140.1</t>
  </si>
  <si>
    <t>1140.2</t>
  </si>
  <si>
    <t>1140.3</t>
  </si>
  <si>
    <t>1140.4</t>
  </si>
  <si>
    <t>витрати на оплату інших енергоносіїв та інших комунальних послуг</t>
  </si>
  <si>
    <t>1140.5</t>
  </si>
  <si>
    <t>Капітальні видатки (місцевого бюджету)</t>
  </si>
  <si>
    <t>Придбання основних засобів</t>
  </si>
  <si>
    <t>1150.1</t>
  </si>
  <si>
    <t>Капітальний ремонт, реконструкція та реставрація</t>
  </si>
  <si>
    <t>1150.2</t>
  </si>
  <si>
    <t>Капітальне будівництво</t>
  </si>
  <si>
    <t>1150.3</t>
  </si>
  <si>
    <t>Резервний фонд (не менше 5% від сукупного доходу підприємства)</t>
  </si>
  <si>
    <t>Усього доходів</t>
  </si>
  <si>
    <t>Усього видатків</t>
  </si>
  <si>
    <t>Фінансовий результат</t>
  </si>
  <si>
    <t>IІ. Розрахунки з бюджетом</t>
  </si>
  <si>
    <t>Сплата податків та зборів до Державного бюджету України (податкові платежі)</t>
  </si>
  <si>
    <t>Сплата податків та зборів до місцевих бюджетів (податкові платежі)</t>
  </si>
  <si>
    <t>Інші податки, збори та платежі на користь держави</t>
  </si>
  <si>
    <t>Податкова заборгованість</t>
  </si>
  <si>
    <t>III. Інвестиційна діяльність</t>
  </si>
  <si>
    <t>Доходи від інвестиційної діяльності, у т.ч.:</t>
  </si>
  <si>
    <t>доходи з місцевого бюджету цільового фінансування по капітальних видатках</t>
  </si>
  <si>
    <t>Капітальні інвестиції, у т.ч.:</t>
  </si>
  <si>
    <t>капітальне будівництво</t>
  </si>
  <si>
    <t>3030.1</t>
  </si>
  <si>
    <t>придбання (виготовлення) основних засобів</t>
  </si>
  <si>
    <t>3030.2</t>
  </si>
  <si>
    <t>придбання (виготовлення) інших необоротних матеріальних активів</t>
  </si>
  <si>
    <t>3030.3</t>
  </si>
  <si>
    <t>придбання (створення) нематеріальних активів</t>
  </si>
  <si>
    <t>3030.4</t>
  </si>
  <si>
    <t>модернізація, модифікація (добудова, дообладнання, реконструкція) основних засобів</t>
  </si>
  <si>
    <t>3030.5</t>
  </si>
  <si>
    <t>капітальний ремонт</t>
  </si>
  <si>
    <t>3030.6</t>
  </si>
  <si>
    <t>Гранти від міжнародних організацій</t>
  </si>
  <si>
    <t>ІV. Вартість основних засобів (балансова вартість)</t>
  </si>
  <si>
    <t>V. Фінансова діяльність підприємства</t>
  </si>
  <si>
    <t>Доходи від фінансової діяльності за зобов’язаннями, у т. ч.:</t>
  </si>
  <si>
    <t>кредити</t>
  </si>
  <si>
    <t>5010.1</t>
  </si>
  <si>
    <t>позики</t>
  </si>
  <si>
    <t>5010.2</t>
  </si>
  <si>
    <t>депозити</t>
  </si>
  <si>
    <t>5010.3</t>
  </si>
  <si>
    <t>Інші надходження</t>
  </si>
  <si>
    <t>Витрати від фінансової діяльності за зобов’язаннями, у т. ч.:</t>
  </si>
  <si>
    <t>5030.1</t>
  </si>
  <si>
    <t>5030.2</t>
  </si>
  <si>
    <t>5030.3</t>
  </si>
  <si>
    <t>Інші витрати</t>
  </si>
  <si>
    <t>VІ. Коефіцієнтний аналіз</t>
  </si>
  <si>
    <t>Валова рентабельність</t>
  </si>
  <si>
    <t>Коефіцієнт відношення капітальних інвестицій до амортизації</t>
  </si>
  <si>
    <t>Коефіцієнт відношення капітальних інвестицій до чистого доходу від реалізації  продукції (товарів, робіт, послуг)</t>
  </si>
  <si>
    <t>Коефіцієнт зносу основних засобів</t>
  </si>
  <si>
    <t>VІІ. Звіт про фінансовий стан</t>
  </si>
  <si>
    <t>Необоротні активи</t>
  </si>
  <si>
    <t>Оборотні активи</t>
  </si>
  <si>
    <t>Усього активи</t>
  </si>
  <si>
    <t>Дебіторська заборгованість</t>
  </si>
  <si>
    <t>Кредиторська заборгованість</t>
  </si>
  <si>
    <t xml:space="preserve">         (ініціали, прізвище)    </t>
  </si>
  <si>
    <t xml:space="preserve">Головний бухгалтер </t>
  </si>
  <si>
    <t>Додаток 2</t>
  </si>
  <si>
    <t>____ _______________ 20___ р.</t>
  </si>
  <si>
    <t>тис. гривень</t>
  </si>
  <si>
    <t>Стандарти звітності П(с)БОУ</t>
  </si>
  <si>
    <t>Стандарти звітності МСФЗ</t>
  </si>
  <si>
    <t>(квартал, рік)</t>
  </si>
  <si>
    <t>Код рядка</t>
  </si>
  <si>
    <t>Звітний період наростаючим пудсумком з початку року</t>
  </si>
  <si>
    <t>план</t>
  </si>
  <si>
    <t>факт</t>
  </si>
  <si>
    <t>відхилення, +/-</t>
  </si>
  <si>
    <t>відхилення, %</t>
  </si>
  <si>
    <t>Дохід (виручка) від реалізації продукції (товарів, робіт, послуг)</t>
  </si>
  <si>
    <t>Дохід з місцевого бюджету за програмою підтримки</t>
  </si>
  <si>
    <t>Видатки</t>
  </si>
  <si>
    <t>Оплата комунальних послуг та енергоносіїв, у т.ч.: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</si>
  <si>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</si>
  <si>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</si>
  <si>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</si>
  <si>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</si>
  <si>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</t>
  </si>
  <si>
    <t>Оплата енергосервісу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</si>
  <si>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</si>
  <si>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</si>
  <si>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Інші поточні видатки</t>
  </si>
  <si>
    <t>Інші видатки, у т.ч.</t>
  </si>
  <si>
    <t>Резервний фонд</t>
  </si>
  <si>
    <t>Вартість основних засобів</t>
  </si>
  <si>
    <t>IV. Фінансова діяльність</t>
  </si>
  <si>
    <t>V. Коефіцієнтний аналіз</t>
  </si>
  <si>
    <t>Коефіцієнт відношення капітальних інвестицій до чистого доходу від реалізації</t>
  </si>
  <si>
    <t>продукції (товарів, робіт, послуг)</t>
  </si>
  <si>
    <t>VІ. Звіт про фінансовий стан</t>
  </si>
  <si>
    <t>VII. Дані про персонал та оплата праці</t>
  </si>
  <si>
    <t>Керівник</t>
  </si>
  <si>
    <t>Лікарі</t>
  </si>
  <si>
    <t>Адміністративно-управлінський персонал</t>
  </si>
  <si>
    <t>Середній медичний персонал</t>
  </si>
  <si>
    <t>Молодший медичний персонал</t>
  </si>
  <si>
    <t>Інший персонал</t>
  </si>
  <si>
    <t>Фонд оплати праці, у т.ч.:</t>
  </si>
  <si>
    <t>Середньомісячні витрати на оплату праці одного працівника, у т.ч.:</t>
  </si>
  <si>
    <t>Заборгованість за заробітною платою, у т.ч.:</t>
  </si>
  <si>
    <t xml:space="preserve">Директор </t>
  </si>
  <si>
    <t>Головний бухгалтер</t>
  </si>
  <si>
    <t>ПОГОДЖЕНО</t>
  </si>
  <si>
    <t xml:space="preserve">Начальник відділу охорони здоров'я   </t>
  </si>
  <si>
    <t>Витрати  комунальних послуг та енергоносіїв, у т.ч.:</t>
  </si>
  <si>
    <t>витрати  теплопостачання</t>
  </si>
  <si>
    <t>витрати  водопостачання та водовідведення</t>
  </si>
  <si>
    <t>витрати  електроенергії</t>
  </si>
  <si>
    <t>витрати  природного газу</t>
  </si>
  <si>
    <t>Вадим Лях</t>
  </si>
  <si>
    <t xml:space="preserve">Начальник відділу охорони здоров'я Слов'янської міської військової адміністрації </t>
  </si>
  <si>
    <t>Марина ПОРОХНЯК</t>
  </si>
  <si>
    <t xml:space="preserve">Заступник начальника Слов'янської міської
 військової адміністрації                                            Леся МАЛА                     </t>
  </si>
  <si>
    <t>розпорядження начальника Слов'янської міської військової адміністрації</t>
  </si>
  <si>
    <t>Начальник  Слов'янської міської військової адміністрації</t>
  </si>
  <si>
    <t xml:space="preserve">Слов'янської міської 
 військової адміністрації   ____________              Марина ПОРОХНЯК                                         </t>
  </si>
  <si>
    <t>дохід від благодійної допомоги</t>
  </si>
  <si>
    <t>дохід від централізованого постачання</t>
  </si>
  <si>
    <t xml:space="preserve">Середня кількість працівників (штатних працівників, зовнішніх сумісників та працівників, що працюють за  за цивільно-правовими договорами), у т.ч.:
</t>
  </si>
  <si>
    <t>Дохід бюджету Святогірської громади</t>
  </si>
  <si>
    <t>дохід від депозитів</t>
  </si>
  <si>
    <t>Неопераційний дохід, від амортизації по НА та ОЗ, що отримані як цільове фінансування та отримані безоплатно (Дт 69 Кт 745)</t>
  </si>
  <si>
    <t>Дохід з місцевого бюджету за цільовими програмами</t>
  </si>
  <si>
    <t>Сергій АГАПОВ</t>
  </si>
  <si>
    <t>Людмила МАРЧУК</t>
  </si>
  <si>
    <t>Комунальне некомерційне підприємство Слов’янської міської ради "Центр первинної медико-санітарної допомоги м.Слов’янська"</t>
  </si>
  <si>
    <t>комунальне підприємство</t>
  </si>
  <si>
    <t>Слов’янська територіальна громада</t>
  </si>
  <si>
    <t>86.1</t>
  </si>
  <si>
    <t>діяльність медичних закладів</t>
  </si>
  <si>
    <t>тис.грн.</t>
  </si>
  <si>
    <t>комунальна</t>
  </si>
  <si>
    <t>вул.Банківська,85, м.Слов’янськ</t>
  </si>
  <si>
    <t>Агапов С.В.</t>
  </si>
  <si>
    <t>КНП СМР "ЦПМСД м.Слов’янська"</t>
  </si>
  <si>
    <t>охорона здоров’я</t>
  </si>
  <si>
    <t>надходження благодійної допомоги</t>
  </si>
  <si>
    <t>централізовані постачання</t>
  </si>
  <si>
    <t>Придбання основного капіталу (амортизація)</t>
  </si>
  <si>
    <t>ЗВІТ ПРО ВИКОНАННЯ  ФІНАНСОВОГО ПЛАНУ ПІДПРИЄМСТВА ЗА  2023 рік</t>
  </si>
  <si>
    <t>проценти від депозиту</t>
  </si>
  <si>
    <t>залишки матеріалів</t>
  </si>
  <si>
    <t>кекв 2800</t>
  </si>
  <si>
    <t>платні послуги договори</t>
  </si>
  <si>
    <t>навчання осіб</t>
  </si>
  <si>
    <t>назва</t>
  </si>
  <si>
    <t>амортизація ОЗ</t>
  </si>
  <si>
    <t>Звітний період (4 квартал 2023 року)</t>
  </si>
  <si>
    <t>неочікуваний дохід</t>
  </si>
  <si>
    <t>передача будівель амбулаторії п.Билбасівка та амб.№3</t>
  </si>
  <si>
    <t>Факт минулого року (факт 2023року)</t>
  </si>
  <si>
    <t>Фінансовий план поточного  
 2024 року</t>
  </si>
  <si>
    <t>Плановий 2025 рік  (усього)</t>
  </si>
  <si>
    <t>нсзу</t>
  </si>
  <si>
    <t>мб</t>
  </si>
  <si>
    <t>святог</t>
  </si>
  <si>
    <t>сф 4-1</t>
  </si>
  <si>
    <t>сф4-2</t>
  </si>
  <si>
    <t>цп</t>
  </si>
  <si>
    <t>мб+святог</t>
  </si>
  <si>
    <t>інші</t>
  </si>
  <si>
    <t>добавл.Свят.громада</t>
  </si>
  <si>
    <t xml:space="preserve">від      29.11.2024 р. №2152 </t>
  </si>
  <si>
    <r>
      <t>"_</t>
    </r>
    <r>
      <rPr>
        <b/>
        <u/>
        <sz val="15"/>
        <rFont val="Times New Roman"/>
        <family val="1"/>
        <charset val="204"/>
      </rPr>
      <t>31</t>
    </r>
    <r>
      <rPr>
        <b/>
        <sz val="15"/>
        <rFont val="Times New Roman"/>
        <family val="1"/>
        <charset val="204"/>
      </rPr>
      <t>___" _____</t>
    </r>
    <r>
      <rPr>
        <b/>
        <u/>
        <sz val="15"/>
        <rFont val="Times New Roman"/>
        <family val="1"/>
        <charset val="204"/>
      </rPr>
      <t>10</t>
    </r>
    <r>
      <rPr>
        <b/>
        <sz val="15"/>
        <rFont val="Times New Roman"/>
        <family val="1"/>
        <charset val="204"/>
      </rPr>
      <t>_________ 2024 р.</t>
    </r>
  </si>
  <si>
    <r>
      <t>"</t>
    </r>
    <r>
      <rPr>
        <b/>
        <u/>
        <sz val="15"/>
        <rFont val="Times New Roman"/>
        <family val="1"/>
        <charset val="204"/>
      </rPr>
      <t>31</t>
    </r>
    <r>
      <rPr>
        <b/>
        <sz val="15"/>
        <rFont val="Times New Roman"/>
        <family val="1"/>
        <charset val="204"/>
      </rPr>
      <t>"</t>
    </r>
    <r>
      <rPr>
        <b/>
        <u/>
        <sz val="15"/>
        <rFont val="Times New Roman"/>
        <family val="1"/>
        <charset val="204"/>
      </rPr>
      <t xml:space="preserve"> ___10__ </t>
    </r>
    <r>
      <rPr>
        <b/>
        <sz val="15"/>
        <rFont val="Times New Roman"/>
        <family val="1"/>
        <charset val="204"/>
      </rPr>
      <t xml:space="preserve">2024р.                     </t>
    </r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</si>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</sst>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_);_(* \(#,##0\);_(* \-_);_(@_)"/>
    <numFmt numFmtId="165" formatCode="_(* #,##0.0_);_(* \(#,##0.0\);_(* \-_);_(@_)"/>
    <numFmt numFmtId="166" formatCode="#,##0.0"/>
    <numFmt numFmtId="167" formatCode="0.0"/>
    <numFmt numFmtId="168" formatCode="#,##0.00;\-#,##0.00;#,&quot;-&quot;"/>
    <numFmt numFmtId="169" formatCode="#,##0.00_ ;\-#,##0.00\ "/>
  </numFmts>
  <fonts count="25" x14ac:knownFonts="1"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i/>
      <sz val="15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Calibri"/>
      <family val="2"/>
      <charset val="204"/>
    </font>
    <font>
      <b/>
      <i/>
      <sz val="14"/>
      <name val="Times New Roman"/>
      <family val="1"/>
      <charset val="204"/>
    </font>
    <font>
      <sz val="14"/>
      <name val="Calibri"/>
      <family val="2"/>
      <charset val="204"/>
    </font>
    <font>
      <b/>
      <sz val="16"/>
      <name val="Calibri"/>
      <family val="2"/>
      <charset val="204"/>
    </font>
    <font>
      <b/>
      <sz val="14"/>
      <color indexed="10"/>
      <name val="Times New Roman"/>
      <family val="1"/>
      <charset val="204"/>
    </font>
    <font>
      <i/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5"/>
      <name val="Times New Roman"/>
      <family val="1"/>
      <charset val="204"/>
    </font>
    <font>
      <b/>
      <i/>
      <sz val="15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4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1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7"/>
      </patternFill>
    </fill>
    <fill>
      <patternFill patternType="solid">
        <fgColor rgb="FFFFFF00"/>
        <bgColor indexed="26"/>
      </patternFill>
    </fill>
  </fills>
  <borders count="54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/>
      <right style="medium">
        <color indexed="8"/>
      </right>
      <top style="thin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8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8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horizontal="center" vertical="center"/>
    </xf>
    <xf numFmtId="0" fontId="8" fillId="0" borderId="5" xfId="1" applyFont="1" applyBorder="1" applyAlignment="1">
      <alignment vertical="center" wrapText="1"/>
    </xf>
    <xf numFmtId="0" fontId="8" fillId="0" borderId="6" xfId="1" applyFont="1" applyBorder="1" applyAlignment="1">
      <alignment vertical="center" wrapText="1"/>
    </xf>
    <xf numFmtId="0" fontId="7" fillId="0" borderId="7" xfId="1" applyFont="1" applyBorder="1" applyAlignment="1">
      <alignment vertical="center" wrapText="1"/>
    </xf>
    <xf numFmtId="0" fontId="8" fillId="0" borderId="8" xfId="1" applyFont="1" applyBorder="1" applyAlignment="1">
      <alignment vertical="center" wrapText="1"/>
    </xf>
    <xf numFmtId="0" fontId="8" fillId="0" borderId="7" xfId="1" applyFont="1" applyBorder="1" applyAlignment="1">
      <alignment vertical="center" wrapText="1"/>
    </xf>
    <xf numFmtId="0" fontId="7" fillId="0" borderId="9" xfId="1" applyFont="1" applyBorder="1" applyAlignment="1">
      <alignment vertical="center" wrapText="1"/>
    </xf>
    <xf numFmtId="0" fontId="8" fillId="0" borderId="9" xfId="1" applyFont="1" applyBorder="1" applyAlignment="1">
      <alignment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7" fillId="0" borderId="10" xfId="1" applyFont="1" applyBorder="1" applyAlignment="1">
      <alignment vertical="center" wrapText="1"/>
    </xf>
    <xf numFmtId="0" fontId="8" fillId="0" borderId="6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1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11" fillId="0" borderId="12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0" fillId="4" borderId="11" xfId="1" applyFont="1" applyFill="1" applyBorder="1" applyAlignment="1">
      <alignment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horizontal="center" vertical="center" wrapText="1"/>
    </xf>
    <xf numFmtId="0" fontId="10" fillId="4" borderId="9" xfId="1" applyFont="1" applyFill="1" applyBorder="1" applyAlignment="1">
      <alignment vertical="center" wrapText="1"/>
    </xf>
    <xf numFmtId="0" fontId="10" fillId="2" borderId="0" xfId="1" applyFont="1" applyFill="1" applyAlignment="1">
      <alignment vertical="center"/>
    </xf>
    <xf numFmtId="0" fontId="10" fillId="2" borderId="6" xfId="1" applyFont="1" applyFill="1" applyBorder="1" applyAlignment="1">
      <alignment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vertical="center" wrapText="1"/>
    </xf>
    <xf numFmtId="0" fontId="5" fillId="2" borderId="15" xfId="1" applyFont="1" applyFill="1" applyBorder="1" applyAlignment="1">
      <alignment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166" fontId="13" fillId="2" borderId="17" xfId="1" applyNumberFormat="1" applyFont="1" applyFill="1" applyBorder="1" applyAlignment="1">
      <alignment vertical="center" wrapText="1"/>
    </xf>
    <xf numFmtId="0" fontId="5" fillId="2" borderId="0" xfId="1" applyFont="1" applyFill="1" applyAlignment="1">
      <alignment vertical="center" wrapText="1"/>
    </xf>
    <xf numFmtId="0" fontId="5" fillId="2" borderId="18" xfId="1" applyFont="1" applyFill="1" applyBorder="1" applyAlignment="1">
      <alignment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166" fontId="13" fillId="2" borderId="3" xfId="1" applyNumberFormat="1" applyFont="1" applyFill="1" applyBorder="1" applyAlignment="1">
      <alignment vertical="center" wrapText="1"/>
    </xf>
    <xf numFmtId="0" fontId="14" fillId="2" borderId="18" xfId="1" applyFont="1" applyFill="1" applyBorder="1" applyAlignment="1">
      <alignment vertical="center" wrapText="1"/>
    </xf>
    <xf numFmtId="0" fontId="14" fillId="2" borderId="17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4" fillId="2" borderId="15" xfId="1" applyFont="1" applyFill="1" applyBorder="1" applyAlignment="1">
      <alignment vertical="center" wrapText="1"/>
    </xf>
    <xf numFmtId="0" fontId="14" fillId="2" borderId="20" xfId="1" applyFont="1" applyFill="1" applyBorder="1" applyAlignment="1">
      <alignment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10" fillId="4" borderId="6" xfId="1" applyFont="1" applyFill="1" applyBorder="1" applyAlignment="1">
      <alignment vertical="center" wrapText="1"/>
    </xf>
    <xf numFmtId="0" fontId="3" fillId="4" borderId="11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vertical="center" wrapText="1"/>
    </xf>
    <xf numFmtId="0" fontId="5" fillId="4" borderId="9" xfId="1" applyFont="1" applyFill="1" applyBorder="1" applyAlignment="1">
      <alignment horizontal="center" vertical="center" wrapText="1"/>
    </xf>
    <xf numFmtId="166" fontId="5" fillId="4" borderId="9" xfId="1" applyNumberFormat="1" applyFont="1" applyFill="1" applyBorder="1" applyAlignment="1">
      <alignment vertical="center" wrapText="1"/>
    </xf>
    <xf numFmtId="166" fontId="5" fillId="2" borderId="22" xfId="1" applyNumberFormat="1" applyFont="1" applyFill="1" applyBorder="1" applyAlignment="1">
      <alignment vertical="center" wrapText="1"/>
    </xf>
    <xf numFmtId="0" fontId="6" fillId="2" borderId="18" xfId="1" applyFont="1" applyFill="1" applyBorder="1" applyAlignment="1">
      <alignment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vertical="center" wrapText="1"/>
    </xf>
    <xf numFmtId="0" fontId="3" fillId="2" borderId="23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vertical="center" wrapText="1"/>
    </xf>
    <xf numFmtId="0" fontId="3" fillId="2" borderId="24" xfId="1" applyFont="1" applyFill="1" applyBorder="1" applyAlignment="1">
      <alignment horizontal="center" vertical="center" wrapText="1"/>
    </xf>
    <xf numFmtId="0" fontId="6" fillId="2" borderId="20" xfId="1" applyFont="1" applyFill="1" applyBorder="1" applyAlignment="1">
      <alignment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vertical="center" wrapText="1"/>
    </xf>
    <xf numFmtId="0" fontId="5" fillId="2" borderId="26" xfId="1" applyFont="1" applyFill="1" applyBorder="1" applyAlignment="1">
      <alignment vertical="center" wrapText="1"/>
    </xf>
    <xf numFmtId="0" fontId="3" fillId="2" borderId="27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166" fontId="5" fillId="0" borderId="0" xfId="1" applyNumberFormat="1" applyFont="1" applyAlignment="1">
      <alignment vertical="center"/>
    </xf>
    <xf numFmtId="0" fontId="10" fillId="0" borderId="0" xfId="1" applyFont="1" applyAlignment="1">
      <alignment horizontal="left" vertical="center" wrapText="1"/>
    </xf>
    <xf numFmtId="0" fontId="18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3" fillId="0" borderId="0" xfId="1" applyFont="1" applyAlignment="1">
      <alignment horizontal="center" vertical="center" wrapText="1"/>
    </xf>
    <xf numFmtId="0" fontId="1" fillId="0" borderId="0" xfId="1"/>
    <xf numFmtId="166" fontId="2" fillId="0" borderId="0" xfId="1" applyNumberFormat="1" applyFont="1" applyAlignment="1">
      <alignment horizontal="center" vertical="center" wrapText="1"/>
    </xf>
    <xf numFmtId="166" fontId="2" fillId="0" borderId="0" xfId="1" applyNumberFormat="1" applyFont="1" applyAlignment="1">
      <alignment horizontal="righ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vertical="center" wrapText="1"/>
    </xf>
    <xf numFmtId="0" fontId="7" fillId="5" borderId="9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vertical="center" wrapText="1"/>
    </xf>
    <xf numFmtId="0" fontId="15" fillId="5" borderId="9" xfId="0" applyFont="1" applyFill="1" applyBorder="1" applyAlignment="1">
      <alignment vertical="center" wrapText="1"/>
    </xf>
    <xf numFmtId="0" fontId="5" fillId="5" borderId="31" xfId="0" applyFont="1" applyFill="1" applyBorder="1" applyAlignment="1">
      <alignment vertical="center" wrapText="1"/>
    </xf>
    <xf numFmtId="0" fontId="5" fillId="5" borderId="32" xfId="0" applyFont="1" applyFill="1" applyBorder="1" applyAlignment="1">
      <alignment vertical="center" wrapText="1"/>
    </xf>
    <xf numFmtId="0" fontId="5" fillId="5" borderId="29" xfId="0" applyFont="1" applyFill="1" applyBorder="1" applyAlignment="1">
      <alignment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center" vertical="center" wrapText="1"/>
    </xf>
    <xf numFmtId="165" fontId="5" fillId="2" borderId="3" xfId="0" applyNumberFormat="1" applyFont="1" applyFill="1" applyBorder="1" applyAlignment="1">
      <alignment vertical="center" wrapText="1"/>
    </xf>
    <xf numFmtId="165" fontId="5" fillId="2" borderId="19" xfId="0" applyNumberFormat="1" applyFont="1" applyFill="1" applyBorder="1" applyAlignment="1">
      <alignment vertical="center" wrapText="1"/>
    </xf>
    <xf numFmtId="165" fontId="5" fillId="2" borderId="2" xfId="0" applyNumberFormat="1" applyFont="1" applyFill="1" applyBorder="1" applyAlignment="1">
      <alignment vertical="center" wrapText="1"/>
    </xf>
    <xf numFmtId="165" fontId="5" fillId="2" borderId="34" xfId="0" applyNumberFormat="1" applyFont="1" applyFill="1" applyBorder="1" applyAlignment="1">
      <alignment vertical="center" wrapText="1"/>
    </xf>
    <xf numFmtId="0" fontId="5" fillId="2" borderId="18" xfId="0" applyFont="1" applyFill="1" applyBorder="1" applyAlignment="1">
      <alignment horizontal="left" vertical="center" wrapText="1" indent="2"/>
    </xf>
    <xf numFmtId="0" fontId="5" fillId="2" borderId="18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center" vertical="center" wrapText="1"/>
    </xf>
    <xf numFmtId="165" fontId="5" fillId="2" borderId="25" xfId="0" applyNumberFormat="1" applyFont="1" applyFill="1" applyBorder="1" applyAlignment="1">
      <alignment vertical="center" wrapText="1"/>
    </xf>
    <xf numFmtId="165" fontId="5" fillId="2" borderId="23" xfId="0" applyNumberFormat="1" applyFont="1" applyFill="1" applyBorder="1" applyAlignment="1">
      <alignment vertical="center" wrapText="1"/>
    </xf>
    <xf numFmtId="165" fontId="5" fillId="2" borderId="35" xfId="0" applyNumberFormat="1" applyFont="1" applyFill="1" applyBorder="1" applyAlignment="1">
      <alignment vertical="center" wrapText="1"/>
    </xf>
    <xf numFmtId="165" fontId="5" fillId="5" borderId="9" xfId="0" applyNumberFormat="1" applyFont="1" applyFill="1" applyBorder="1" applyAlignment="1">
      <alignment vertical="center" wrapText="1"/>
    </xf>
    <xf numFmtId="165" fontId="5" fillId="5" borderId="11" xfId="0" applyNumberFormat="1" applyFont="1" applyFill="1" applyBorder="1" applyAlignment="1">
      <alignment vertical="center" wrapText="1"/>
    </xf>
    <xf numFmtId="165" fontId="5" fillId="5" borderId="31" xfId="0" applyNumberFormat="1" applyFont="1" applyFill="1" applyBorder="1" applyAlignment="1">
      <alignment vertical="center" wrapText="1"/>
    </xf>
    <xf numFmtId="165" fontId="5" fillId="5" borderId="32" xfId="0" applyNumberFormat="1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165" fontId="5" fillId="5" borderId="19" xfId="0" applyNumberFormat="1" applyFont="1" applyFill="1" applyBorder="1" applyAlignment="1">
      <alignment vertical="center" wrapText="1"/>
    </xf>
    <xf numFmtId="165" fontId="5" fillId="5" borderId="2" xfId="0" applyNumberFormat="1" applyFont="1" applyFill="1" applyBorder="1" applyAlignment="1">
      <alignment vertical="center" wrapText="1"/>
    </xf>
    <xf numFmtId="0" fontId="5" fillId="2" borderId="36" xfId="0" applyFont="1" applyFill="1" applyBorder="1" applyAlignment="1">
      <alignment vertical="center" wrapText="1"/>
    </xf>
    <xf numFmtId="165" fontId="5" fillId="2" borderId="37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164" fontId="5" fillId="2" borderId="0" xfId="0" applyNumberFormat="1" applyFont="1" applyFill="1" applyAlignment="1">
      <alignment vertical="center" wrapText="1"/>
    </xf>
    <xf numFmtId="165" fontId="5" fillId="2" borderId="0" xfId="0" applyNumberFormat="1" applyFont="1" applyFill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5" fillId="5" borderId="20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8" fillId="2" borderId="0" xfId="1" applyFont="1" applyFill="1" applyAlignment="1">
      <alignment vertical="center" wrapText="1"/>
    </xf>
    <xf numFmtId="0" fontId="0" fillId="0" borderId="38" xfId="0" applyBorder="1" applyAlignment="1">
      <alignment vertical="center"/>
    </xf>
    <xf numFmtId="0" fontId="8" fillId="2" borderId="0" xfId="0" applyFont="1" applyFill="1" applyAlignment="1">
      <alignment horizontal="left" vertical="center" wrapText="1"/>
    </xf>
    <xf numFmtId="4" fontId="10" fillId="2" borderId="9" xfId="1" applyNumberFormat="1" applyFont="1" applyFill="1" applyBorder="1" applyAlignment="1">
      <alignment vertical="center" wrapText="1"/>
    </xf>
    <xf numFmtId="4" fontId="10" fillId="2" borderId="11" xfId="1" applyNumberFormat="1" applyFont="1" applyFill="1" applyBorder="1" applyAlignment="1">
      <alignment vertical="center" wrapText="1"/>
    </xf>
    <xf numFmtId="4" fontId="5" fillId="2" borderId="17" xfId="1" applyNumberFormat="1" applyFont="1" applyFill="1" applyBorder="1" applyAlignment="1">
      <alignment vertical="center" wrapText="1"/>
    </xf>
    <xf numFmtId="4" fontId="5" fillId="2" borderId="24" xfId="1" applyNumberFormat="1" applyFont="1" applyFill="1" applyBorder="1" applyAlignment="1">
      <alignment vertical="center" wrapText="1"/>
    </xf>
    <xf numFmtId="4" fontId="5" fillId="2" borderId="3" xfId="1" applyNumberFormat="1" applyFont="1" applyFill="1" applyBorder="1" applyAlignment="1">
      <alignment vertical="center" wrapText="1"/>
    </xf>
    <xf numFmtId="4" fontId="5" fillId="2" borderId="19" xfId="1" applyNumberFormat="1" applyFont="1" applyFill="1" applyBorder="1" applyAlignment="1">
      <alignment vertical="center" wrapText="1"/>
    </xf>
    <xf numFmtId="4" fontId="5" fillId="2" borderId="25" xfId="1" applyNumberFormat="1" applyFont="1" applyFill="1" applyBorder="1" applyAlignment="1">
      <alignment vertical="center" wrapText="1"/>
    </xf>
    <xf numFmtId="4" fontId="10" fillId="4" borderId="9" xfId="1" applyNumberFormat="1" applyFont="1" applyFill="1" applyBorder="1" applyAlignment="1">
      <alignment vertical="center" wrapText="1"/>
    </xf>
    <xf numFmtId="4" fontId="10" fillId="4" borderId="11" xfId="1" applyNumberFormat="1" applyFont="1" applyFill="1" applyBorder="1" applyAlignment="1">
      <alignment vertical="center" wrapText="1"/>
    </xf>
    <xf numFmtId="4" fontId="5" fillId="4" borderId="9" xfId="1" applyNumberFormat="1" applyFont="1" applyFill="1" applyBorder="1" applyAlignment="1">
      <alignment vertical="center" wrapText="1"/>
    </xf>
    <xf numFmtId="4" fontId="13" fillId="4" borderId="9" xfId="1" applyNumberFormat="1" applyFont="1" applyFill="1" applyBorder="1" applyAlignment="1">
      <alignment vertical="center" wrapText="1"/>
    </xf>
    <xf numFmtId="4" fontId="16" fillId="4" borderId="7" xfId="1" applyNumberFormat="1" applyFont="1" applyFill="1" applyBorder="1" applyAlignment="1">
      <alignment vertical="center" wrapText="1"/>
    </xf>
    <xf numFmtId="4" fontId="10" fillId="4" borderId="7" xfId="1" applyNumberFormat="1" applyFont="1" applyFill="1" applyBorder="1" applyAlignment="1">
      <alignment vertical="center" wrapText="1"/>
    </xf>
    <xf numFmtId="4" fontId="17" fillId="2" borderId="25" xfId="1" applyNumberFormat="1" applyFont="1" applyFill="1" applyBorder="1" applyAlignment="1">
      <alignment vertical="center" wrapText="1"/>
    </xf>
    <xf numFmtId="4" fontId="5" fillId="2" borderId="28" xfId="1" applyNumberFormat="1" applyFont="1" applyFill="1" applyBorder="1" applyAlignment="1">
      <alignment vertical="center" wrapText="1"/>
    </xf>
    <xf numFmtId="166" fontId="10" fillId="2" borderId="39" xfId="1" applyNumberFormat="1" applyFont="1" applyFill="1" applyBorder="1" applyAlignment="1">
      <alignment vertical="center" wrapText="1"/>
    </xf>
    <xf numFmtId="166" fontId="10" fillId="2" borderId="9" xfId="1" applyNumberFormat="1" applyFont="1" applyFill="1" applyBorder="1" applyAlignment="1">
      <alignment vertical="center" wrapText="1"/>
    </xf>
    <xf numFmtId="166" fontId="5" fillId="2" borderId="17" xfId="1" applyNumberFormat="1" applyFont="1" applyFill="1" applyBorder="1" applyAlignment="1">
      <alignment vertical="center" wrapText="1"/>
    </xf>
    <xf numFmtId="166" fontId="5" fillId="2" borderId="24" xfId="1" applyNumberFormat="1" applyFont="1" applyFill="1" applyBorder="1" applyAlignment="1">
      <alignment vertical="center" wrapText="1"/>
    </xf>
    <xf numFmtId="166" fontId="5" fillId="2" borderId="3" xfId="1" applyNumberFormat="1" applyFont="1" applyFill="1" applyBorder="1" applyAlignment="1">
      <alignment vertical="center" wrapText="1"/>
    </xf>
    <xf numFmtId="166" fontId="5" fillId="2" borderId="19" xfId="1" applyNumberFormat="1" applyFont="1" applyFill="1" applyBorder="1" applyAlignment="1">
      <alignment vertical="center" wrapText="1"/>
    </xf>
    <xf numFmtId="166" fontId="5" fillId="2" borderId="25" xfId="1" applyNumberFormat="1" applyFont="1" applyFill="1" applyBorder="1" applyAlignment="1">
      <alignment vertical="center" wrapText="1"/>
    </xf>
    <xf numFmtId="166" fontId="5" fillId="2" borderId="23" xfId="1" applyNumberFormat="1" applyFont="1" applyFill="1" applyBorder="1" applyAlignment="1">
      <alignment vertical="center" wrapText="1"/>
    </xf>
    <xf numFmtId="166" fontId="10" fillId="4" borderId="9" xfId="1" applyNumberFormat="1" applyFont="1" applyFill="1" applyBorder="1" applyAlignment="1">
      <alignment vertical="center" wrapText="1"/>
    </xf>
    <xf numFmtId="166" fontId="10" fillId="4" borderId="11" xfId="1" applyNumberFormat="1" applyFont="1" applyFill="1" applyBorder="1" applyAlignment="1">
      <alignment vertical="center" wrapText="1"/>
    </xf>
    <xf numFmtId="166" fontId="5" fillId="4" borderId="11" xfId="1" applyNumberFormat="1" applyFont="1" applyFill="1" applyBorder="1" applyAlignment="1">
      <alignment vertical="center" wrapText="1"/>
    </xf>
    <xf numFmtId="166" fontId="6" fillId="2" borderId="3" xfId="1" applyNumberFormat="1" applyFont="1" applyFill="1" applyBorder="1" applyAlignment="1">
      <alignment vertical="center" wrapText="1"/>
    </xf>
    <xf numFmtId="166" fontId="6" fillId="2" borderId="19" xfId="1" applyNumberFormat="1" applyFont="1" applyFill="1" applyBorder="1" applyAlignment="1">
      <alignment vertical="center" wrapText="1"/>
    </xf>
    <xf numFmtId="166" fontId="10" fillId="4" borderId="7" xfId="1" applyNumberFormat="1" applyFont="1" applyFill="1" applyBorder="1" applyAlignment="1">
      <alignment vertical="center" wrapText="1"/>
    </xf>
    <xf numFmtId="166" fontId="17" fillId="2" borderId="25" xfId="1" applyNumberFormat="1" applyFont="1" applyFill="1" applyBorder="1" applyAlignment="1">
      <alignment vertical="center" wrapText="1"/>
    </xf>
    <xf numFmtId="166" fontId="5" fillId="2" borderId="27" xfId="1" applyNumberFormat="1" applyFont="1" applyFill="1" applyBorder="1" applyAlignment="1">
      <alignment vertical="center" wrapText="1"/>
    </xf>
    <xf numFmtId="166" fontId="14" fillId="2" borderId="3" xfId="1" applyNumberFormat="1" applyFont="1" applyFill="1" applyBorder="1" applyAlignment="1">
      <alignment vertical="center" wrapText="1"/>
    </xf>
    <xf numFmtId="166" fontId="5" fillId="4" borderId="39" xfId="1" applyNumberFormat="1" applyFont="1" applyFill="1" applyBorder="1" applyAlignment="1">
      <alignment vertical="center" wrapText="1"/>
    </xf>
    <xf numFmtId="166" fontId="5" fillId="4" borderId="7" xfId="1" applyNumberFormat="1" applyFont="1" applyFill="1" applyBorder="1" applyAlignment="1">
      <alignment vertical="center" wrapText="1"/>
    </xf>
    <xf numFmtId="166" fontId="5" fillId="2" borderId="16" xfId="1" applyNumberFormat="1" applyFont="1" applyFill="1" applyBorder="1" applyAlignment="1">
      <alignment vertical="center" wrapText="1"/>
    </xf>
    <xf numFmtId="166" fontId="5" fillId="2" borderId="21" xfId="1" applyNumberFormat="1" applyFont="1" applyFill="1" applyBorder="1" applyAlignment="1">
      <alignment vertical="center" wrapText="1"/>
    </xf>
    <xf numFmtId="166" fontId="6" fillId="2" borderId="25" xfId="1" applyNumberFormat="1" applyFont="1" applyFill="1" applyBorder="1" applyAlignment="1">
      <alignment vertical="center" wrapText="1"/>
    </xf>
    <xf numFmtId="166" fontId="14" fillId="2" borderId="19" xfId="1" applyNumberFormat="1" applyFont="1" applyFill="1" applyBorder="1" applyAlignment="1">
      <alignment vertical="center" wrapText="1"/>
    </xf>
    <xf numFmtId="166" fontId="6" fillId="2" borderId="23" xfId="1" applyNumberFormat="1" applyFont="1" applyFill="1" applyBorder="1" applyAlignment="1">
      <alignment vertical="center" wrapText="1"/>
    </xf>
    <xf numFmtId="166" fontId="6" fillId="2" borderId="16" xfId="1" applyNumberFormat="1" applyFont="1" applyFill="1" applyBorder="1" applyAlignment="1">
      <alignment vertical="center" wrapText="1"/>
    </xf>
    <xf numFmtId="166" fontId="6" fillId="2" borderId="17" xfId="1" applyNumberFormat="1" applyFont="1" applyFill="1" applyBorder="1" applyAlignment="1">
      <alignment vertical="center" wrapText="1"/>
    </xf>
    <xf numFmtId="0" fontId="7" fillId="2" borderId="15" xfId="1" applyFont="1" applyFill="1" applyBorder="1" applyAlignment="1">
      <alignment vertical="center" wrapText="1"/>
    </xf>
    <xf numFmtId="0" fontId="7" fillId="2" borderId="18" xfId="1" applyFont="1" applyFill="1" applyBorder="1" applyAlignment="1">
      <alignment vertical="center" wrapText="1"/>
    </xf>
    <xf numFmtId="0" fontId="7" fillId="2" borderId="20" xfId="1" applyFont="1" applyFill="1" applyBorder="1" applyAlignment="1">
      <alignment vertical="center" wrapText="1"/>
    </xf>
    <xf numFmtId="166" fontId="10" fillId="2" borderId="40" xfId="1" applyNumberFormat="1" applyFont="1" applyFill="1" applyBorder="1" applyAlignment="1">
      <alignment vertical="center" wrapText="1"/>
    </xf>
    <xf numFmtId="166" fontId="6" fillId="0" borderId="19" xfId="1" applyNumberFormat="1" applyFont="1" applyBorder="1" applyAlignment="1">
      <alignment vertical="center" wrapText="1"/>
    </xf>
    <xf numFmtId="166" fontId="6" fillId="0" borderId="3" xfId="1" applyNumberFormat="1" applyFont="1" applyBorder="1" applyAlignment="1">
      <alignment vertical="center" wrapText="1"/>
    </xf>
    <xf numFmtId="166" fontId="6" fillId="2" borderId="22" xfId="1" applyNumberFormat="1" applyFont="1" applyFill="1" applyBorder="1" applyAlignment="1">
      <alignment vertical="center" wrapText="1"/>
    </xf>
    <xf numFmtId="166" fontId="5" fillId="2" borderId="41" xfId="1" applyNumberFormat="1" applyFont="1" applyFill="1" applyBorder="1" applyAlignment="1">
      <alignment vertical="center" wrapText="1"/>
    </xf>
    <xf numFmtId="166" fontId="7" fillId="2" borderId="3" xfId="1" applyNumberFormat="1" applyFont="1" applyFill="1" applyBorder="1" applyAlignment="1">
      <alignment vertical="center" wrapText="1"/>
    </xf>
    <xf numFmtId="166" fontId="7" fillId="2" borderId="25" xfId="1" applyNumberFormat="1" applyFont="1" applyFill="1" applyBorder="1" applyAlignment="1">
      <alignment vertical="center" wrapText="1"/>
    </xf>
    <xf numFmtId="165" fontId="5" fillId="5" borderId="42" xfId="0" applyNumberFormat="1" applyFont="1" applyFill="1" applyBorder="1" applyAlignment="1">
      <alignment vertical="center" wrapText="1"/>
    </xf>
    <xf numFmtId="165" fontId="5" fillId="2" borderId="43" xfId="0" applyNumberFormat="1" applyFont="1" applyFill="1" applyBorder="1" applyAlignment="1">
      <alignment vertical="center" wrapText="1"/>
    </xf>
    <xf numFmtId="0" fontId="5" fillId="2" borderId="44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6" fillId="6" borderId="48" xfId="0" applyFont="1" applyFill="1" applyBorder="1" applyAlignment="1">
      <alignment horizontal="left" vertical="center" wrapText="1"/>
    </xf>
    <xf numFmtId="0" fontId="7" fillId="6" borderId="48" xfId="0" applyFont="1" applyFill="1" applyBorder="1" applyAlignment="1">
      <alignment horizontal="left" vertical="center" wrapText="1"/>
    </xf>
    <xf numFmtId="166" fontId="5" fillId="0" borderId="3" xfId="1" applyNumberFormat="1" applyFont="1" applyBorder="1" applyAlignment="1">
      <alignment vertical="center" wrapText="1"/>
    </xf>
    <xf numFmtId="166" fontId="5" fillId="0" borderId="25" xfId="1" applyNumberFormat="1" applyFont="1" applyBorder="1" applyAlignment="1">
      <alignment vertical="center" wrapText="1"/>
    </xf>
    <xf numFmtId="166" fontId="5" fillId="0" borderId="19" xfId="1" applyNumberFormat="1" applyFont="1" applyBorder="1" applyAlignment="1">
      <alignment vertical="center" wrapText="1"/>
    </xf>
    <xf numFmtId="166" fontId="5" fillId="0" borderId="23" xfId="1" applyNumberFormat="1" applyFont="1" applyBorder="1" applyAlignment="1">
      <alignment vertical="center" wrapText="1"/>
    </xf>
    <xf numFmtId="166" fontId="17" fillId="0" borderId="25" xfId="1" applyNumberFormat="1" applyFont="1" applyBorder="1" applyAlignment="1">
      <alignment vertical="center" wrapText="1"/>
    </xf>
    <xf numFmtId="166" fontId="5" fillId="0" borderId="24" xfId="1" applyNumberFormat="1" applyFont="1" applyBorder="1" applyAlignment="1">
      <alignment vertical="center" wrapText="1"/>
    </xf>
    <xf numFmtId="166" fontId="5" fillId="0" borderId="17" xfId="1" applyNumberFormat="1" applyFont="1" applyBorder="1" applyAlignment="1">
      <alignment vertical="center" wrapText="1"/>
    </xf>
    <xf numFmtId="4" fontId="20" fillId="2" borderId="3" xfId="1" applyNumberFormat="1" applyFont="1" applyFill="1" applyBorder="1" applyAlignment="1">
      <alignment vertical="center" wrapText="1"/>
    </xf>
    <xf numFmtId="165" fontId="5" fillId="0" borderId="19" xfId="0" applyNumberFormat="1" applyFont="1" applyBorder="1" applyAlignment="1">
      <alignment vertical="center" wrapText="1"/>
    </xf>
    <xf numFmtId="166" fontId="5" fillId="0" borderId="27" xfId="1" applyNumberFormat="1" applyFont="1" applyBorder="1" applyAlignment="1">
      <alignment vertical="center" wrapText="1"/>
    </xf>
    <xf numFmtId="166" fontId="5" fillId="0" borderId="28" xfId="1" applyNumberFormat="1" applyFont="1" applyBorder="1" applyAlignment="1">
      <alignment vertical="center" wrapText="1"/>
    </xf>
    <xf numFmtId="166" fontId="5" fillId="0" borderId="16" xfId="1" applyNumberFormat="1" applyFont="1" applyBorder="1" applyAlignment="1">
      <alignment vertical="center" wrapText="1"/>
    </xf>
    <xf numFmtId="166" fontId="5" fillId="0" borderId="49" xfId="1" applyNumberFormat="1" applyFont="1" applyBorder="1" applyAlignment="1">
      <alignment vertical="center" wrapText="1"/>
    </xf>
    <xf numFmtId="4" fontId="20" fillId="2" borderId="19" xfId="1" applyNumberFormat="1" applyFont="1" applyFill="1" applyBorder="1" applyAlignment="1">
      <alignment vertical="center" wrapText="1"/>
    </xf>
    <xf numFmtId="4" fontId="20" fillId="2" borderId="12" xfId="1" applyNumberFormat="1" applyFont="1" applyFill="1" applyBorder="1" applyAlignment="1">
      <alignment vertical="center" wrapText="1"/>
    </xf>
    <xf numFmtId="4" fontId="20" fillId="2" borderId="49" xfId="1" applyNumberFormat="1" applyFont="1" applyFill="1" applyBorder="1" applyAlignment="1">
      <alignment vertical="center" wrapText="1"/>
    </xf>
    <xf numFmtId="4" fontId="20" fillId="2" borderId="17" xfId="1" applyNumberFormat="1" applyFont="1" applyFill="1" applyBorder="1" applyAlignment="1">
      <alignment vertical="center" wrapText="1"/>
    </xf>
    <xf numFmtId="167" fontId="5" fillId="2" borderId="19" xfId="0" applyNumberFormat="1" applyFont="1" applyFill="1" applyBorder="1" applyAlignment="1">
      <alignment vertical="center" wrapText="1"/>
    </xf>
    <xf numFmtId="167" fontId="5" fillId="2" borderId="3" xfId="0" applyNumberFormat="1" applyFont="1" applyFill="1" applyBorder="1" applyAlignment="1">
      <alignment vertical="center" wrapText="1"/>
    </xf>
    <xf numFmtId="167" fontId="5" fillId="2" borderId="23" xfId="0" applyNumberFormat="1" applyFont="1" applyFill="1" applyBorder="1" applyAlignment="1">
      <alignment vertical="center" wrapText="1"/>
    </xf>
    <xf numFmtId="167" fontId="15" fillId="5" borderId="11" xfId="0" applyNumberFormat="1" applyFont="1" applyFill="1" applyBorder="1" applyAlignment="1">
      <alignment vertical="center" wrapText="1"/>
    </xf>
    <xf numFmtId="167" fontId="5" fillId="5" borderId="11" xfId="0" applyNumberFormat="1" applyFont="1" applyFill="1" applyBorder="1" applyAlignment="1">
      <alignment vertical="center" wrapText="1"/>
    </xf>
    <xf numFmtId="167" fontId="15" fillId="5" borderId="3" xfId="0" applyNumberFormat="1" applyFont="1" applyFill="1" applyBorder="1" applyAlignment="1">
      <alignment vertical="center" wrapText="1"/>
    </xf>
    <xf numFmtId="165" fontId="20" fillId="2" borderId="34" xfId="0" applyNumberFormat="1" applyFont="1" applyFill="1" applyBorder="1" applyAlignment="1">
      <alignment vertical="center" wrapText="1"/>
    </xf>
    <xf numFmtId="165" fontId="5" fillId="0" borderId="2" xfId="0" applyNumberFormat="1" applyFont="1" applyBorder="1" applyAlignment="1">
      <alignment vertical="center" wrapText="1"/>
    </xf>
    <xf numFmtId="165" fontId="5" fillId="0" borderId="34" xfId="0" applyNumberFormat="1" applyFont="1" applyBorder="1" applyAlignment="1">
      <alignment vertical="center" wrapText="1"/>
    </xf>
    <xf numFmtId="165" fontId="7" fillId="0" borderId="34" xfId="0" applyNumberFormat="1" applyFont="1" applyBorder="1" applyAlignment="1">
      <alignment vertical="center" wrapText="1"/>
    </xf>
    <xf numFmtId="0" fontId="7" fillId="0" borderId="34" xfId="0" applyFont="1" applyBorder="1" applyAlignment="1">
      <alignment horizontal="left" vertical="center" wrapText="1"/>
    </xf>
    <xf numFmtId="165" fontId="5" fillId="0" borderId="3" xfId="0" applyNumberFormat="1" applyFont="1" applyBorder="1" applyAlignment="1">
      <alignment vertical="center" wrapText="1"/>
    </xf>
    <xf numFmtId="167" fontId="7" fillId="2" borderId="3" xfId="0" applyNumberFormat="1" applyFont="1" applyFill="1" applyBorder="1" applyAlignment="1">
      <alignment vertical="center" wrapText="1"/>
    </xf>
    <xf numFmtId="165" fontId="7" fillId="2" borderId="19" xfId="0" applyNumberFormat="1" applyFont="1" applyFill="1" applyBorder="1" applyAlignment="1">
      <alignment vertical="center" wrapText="1"/>
    </xf>
    <xf numFmtId="165" fontId="7" fillId="2" borderId="2" xfId="0" applyNumberFormat="1" applyFont="1" applyFill="1" applyBorder="1" applyAlignment="1">
      <alignment vertical="center" wrapText="1"/>
    </xf>
    <xf numFmtId="167" fontId="7" fillId="2" borderId="4" xfId="0" applyNumberFormat="1" applyFont="1" applyFill="1" applyBorder="1" applyAlignment="1">
      <alignment vertical="center" wrapText="1"/>
    </xf>
    <xf numFmtId="165" fontId="5" fillId="2" borderId="18" xfId="0" applyNumberFormat="1" applyFont="1" applyFill="1" applyBorder="1" applyAlignment="1">
      <alignment vertical="center" wrapText="1"/>
    </xf>
    <xf numFmtId="165" fontId="7" fillId="2" borderId="18" xfId="0" applyNumberFormat="1" applyFont="1" applyFill="1" applyBorder="1" applyAlignment="1">
      <alignment vertical="center" wrapText="1"/>
    </xf>
    <xf numFmtId="165" fontId="7" fillId="2" borderId="3" xfId="0" applyNumberFormat="1" applyFont="1" applyFill="1" applyBorder="1" applyAlignment="1">
      <alignment vertical="center" wrapText="1"/>
    </xf>
    <xf numFmtId="165" fontId="5" fillId="2" borderId="46" xfId="0" applyNumberFormat="1" applyFont="1" applyFill="1" applyBorder="1" applyAlignment="1">
      <alignment vertical="center" wrapText="1"/>
    </xf>
    <xf numFmtId="165" fontId="7" fillId="2" borderId="46" xfId="0" applyNumberFormat="1" applyFont="1" applyFill="1" applyBorder="1" applyAlignment="1">
      <alignment vertical="center" wrapText="1"/>
    </xf>
    <xf numFmtId="165" fontId="7" fillId="2" borderId="43" xfId="0" applyNumberFormat="1" applyFont="1" applyFill="1" applyBorder="1" applyAlignment="1">
      <alignment vertical="center" wrapText="1"/>
    </xf>
    <xf numFmtId="165" fontId="7" fillId="2" borderId="50" xfId="0" applyNumberFormat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  <xf numFmtId="165" fontId="7" fillId="2" borderId="51" xfId="0" applyNumberFormat="1" applyFont="1" applyFill="1" applyBorder="1" applyAlignment="1">
      <alignment vertical="center" wrapText="1"/>
    </xf>
    <xf numFmtId="165" fontId="7" fillId="2" borderId="52" xfId="0" applyNumberFormat="1" applyFont="1" applyFill="1" applyBorder="1" applyAlignment="1">
      <alignment vertical="center" wrapText="1"/>
    </xf>
    <xf numFmtId="165" fontId="7" fillId="2" borderId="53" xfId="0" applyNumberFormat="1" applyFont="1" applyFill="1" applyBorder="1" applyAlignment="1">
      <alignment vertical="center" wrapText="1"/>
    </xf>
    <xf numFmtId="165" fontId="20" fillId="2" borderId="35" xfId="0" applyNumberFormat="1" applyFont="1" applyFill="1" applyBorder="1" applyAlignment="1">
      <alignment vertical="center" wrapText="1"/>
    </xf>
    <xf numFmtId="166" fontId="5" fillId="0" borderId="19" xfId="0" applyNumberFormat="1" applyFont="1" applyBorder="1" applyAlignment="1">
      <alignment vertical="center" wrapText="1"/>
    </xf>
    <xf numFmtId="166" fontId="15" fillId="0" borderId="19" xfId="0" applyNumberFormat="1" applyFont="1" applyBorder="1" applyAlignment="1">
      <alignment vertical="center" wrapText="1"/>
    </xf>
    <xf numFmtId="165" fontId="21" fillId="2" borderId="34" xfId="0" applyNumberFormat="1" applyFont="1" applyFill="1" applyBorder="1" applyAlignment="1">
      <alignment vertical="center" wrapText="1"/>
    </xf>
    <xf numFmtId="4" fontId="19" fillId="2" borderId="3" xfId="1" applyNumberFormat="1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vertical="center" wrapText="1"/>
    </xf>
    <xf numFmtId="165" fontId="20" fillId="0" borderId="34" xfId="0" applyNumberFormat="1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165" fontId="5" fillId="0" borderId="23" xfId="0" applyNumberFormat="1" applyFont="1" applyBorder="1" applyAlignment="1">
      <alignment vertical="center" wrapText="1"/>
    </xf>
    <xf numFmtId="167" fontId="5" fillId="0" borderId="3" xfId="0" applyNumberFormat="1" applyFont="1" applyBorder="1" applyAlignment="1">
      <alignment vertical="center" wrapText="1"/>
    </xf>
    <xf numFmtId="167" fontId="5" fillId="0" borderId="25" xfId="0" applyNumberFormat="1" applyFont="1" applyBorder="1" applyAlignment="1">
      <alignment vertical="center" wrapText="1"/>
    </xf>
    <xf numFmtId="4" fontId="5" fillId="2" borderId="24" xfId="0" applyNumberFormat="1" applyFont="1" applyFill="1" applyBorder="1" applyAlignment="1">
      <alignment vertical="center" wrapText="1"/>
    </xf>
    <xf numFmtId="4" fontId="5" fillId="2" borderId="19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vertical="center" wrapText="1"/>
    </xf>
    <xf numFmtId="165" fontId="19" fillId="2" borderId="34" xfId="0" applyNumberFormat="1" applyFont="1" applyFill="1" applyBorder="1" applyAlignment="1">
      <alignment vertical="center" wrapText="1"/>
    </xf>
    <xf numFmtId="165" fontId="5" fillId="0" borderId="19" xfId="0" applyNumberFormat="1" applyFont="1" applyBorder="1" applyAlignment="1">
      <alignment vertical="center"/>
    </xf>
    <xf numFmtId="4" fontId="20" fillId="2" borderId="19" xfId="1" applyNumberFormat="1" applyFont="1" applyFill="1" applyBorder="1" applyAlignment="1">
      <alignment vertical="center"/>
    </xf>
    <xf numFmtId="166" fontId="5" fillId="0" borderId="43" xfId="1" applyNumberFormat="1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4" fontId="5" fillId="0" borderId="24" xfId="0" applyNumberFormat="1" applyFont="1" applyBorder="1" applyAlignment="1">
      <alignment vertical="center" wrapText="1"/>
    </xf>
    <xf numFmtId="166" fontId="5" fillId="7" borderId="19" xfId="0" applyNumberFormat="1" applyFont="1" applyFill="1" applyBorder="1" applyAlignment="1">
      <alignment vertical="center" wrapText="1"/>
    </xf>
    <xf numFmtId="165" fontId="5" fillId="7" borderId="19" xfId="0" applyNumberFormat="1" applyFont="1" applyFill="1" applyBorder="1" applyAlignment="1">
      <alignment vertical="center" wrapText="1"/>
    </xf>
    <xf numFmtId="167" fontId="5" fillId="7" borderId="9" xfId="0" applyNumberFormat="1" applyFont="1" applyFill="1" applyBorder="1" applyAlignment="1">
      <alignment vertical="center" wrapText="1"/>
    </xf>
    <xf numFmtId="165" fontId="5" fillId="7" borderId="11" xfId="0" applyNumberFormat="1" applyFont="1" applyFill="1" applyBorder="1" applyAlignment="1">
      <alignment vertical="center" wrapText="1"/>
    </xf>
    <xf numFmtId="167" fontId="5" fillId="0" borderId="19" xfId="0" applyNumberFormat="1" applyFont="1" applyBorder="1" applyAlignment="1">
      <alignment vertical="center" wrapText="1"/>
    </xf>
    <xf numFmtId="167" fontId="5" fillId="0" borderId="23" xfId="0" applyNumberFormat="1" applyFont="1" applyBorder="1" applyAlignment="1">
      <alignment vertical="center" wrapText="1"/>
    </xf>
    <xf numFmtId="167" fontId="15" fillId="7" borderId="11" xfId="0" applyNumberFormat="1" applyFont="1" applyFill="1" applyBorder="1" applyAlignment="1">
      <alignment vertical="center" wrapText="1"/>
    </xf>
    <xf numFmtId="167" fontId="5" fillId="7" borderId="11" xfId="0" applyNumberFormat="1" applyFont="1" applyFill="1" applyBorder="1" applyAlignment="1">
      <alignment vertical="center" wrapText="1"/>
    </xf>
    <xf numFmtId="165" fontId="5" fillId="7" borderId="9" xfId="0" applyNumberFormat="1" applyFont="1" applyFill="1" applyBorder="1" applyAlignment="1">
      <alignment vertical="center" wrapText="1"/>
    </xf>
    <xf numFmtId="165" fontId="5" fillId="7" borderId="31" xfId="0" applyNumberFormat="1" applyFont="1" applyFill="1" applyBorder="1" applyAlignment="1">
      <alignment vertical="center" wrapText="1"/>
    </xf>
    <xf numFmtId="167" fontId="15" fillId="0" borderId="19" xfId="0" applyNumberFormat="1" applyFont="1" applyBorder="1" applyAlignment="1">
      <alignment vertical="center" wrapText="1"/>
    </xf>
    <xf numFmtId="165" fontId="5" fillId="7" borderId="14" xfId="0" applyNumberFormat="1" applyFont="1" applyFill="1" applyBorder="1" applyAlignment="1">
      <alignment vertical="center" wrapText="1"/>
    </xf>
    <xf numFmtId="165" fontId="5" fillId="0" borderId="18" xfId="0" applyNumberFormat="1" applyFont="1" applyBorder="1" applyAlignment="1">
      <alignment vertical="center" wrapText="1"/>
    </xf>
    <xf numFmtId="165" fontId="5" fillId="0" borderId="45" xfId="0" applyNumberFormat="1" applyFont="1" applyBorder="1" applyAlignment="1">
      <alignment vertical="center" wrapText="1"/>
    </xf>
    <xf numFmtId="165" fontId="5" fillId="0" borderId="46" xfId="0" applyNumberFormat="1" applyFont="1" applyBorder="1" applyAlignment="1">
      <alignment vertical="center" wrapText="1"/>
    </xf>
    <xf numFmtId="167" fontId="15" fillId="0" borderId="3" xfId="0" applyNumberFormat="1" applyFont="1" applyBorder="1" applyAlignment="1">
      <alignment vertical="center" wrapText="1"/>
    </xf>
    <xf numFmtId="167" fontId="5" fillId="0" borderId="18" xfId="0" applyNumberFormat="1" applyFont="1" applyBorder="1" applyAlignment="1">
      <alignment vertical="center" wrapText="1"/>
    </xf>
    <xf numFmtId="167" fontId="5" fillId="7" borderId="3" xfId="0" applyNumberFormat="1" applyFont="1" applyFill="1" applyBorder="1" applyAlignment="1">
      <alignment vertical="center" wrapText="1"/>
    </xf>
    <xf numFmtId="167" fontId="5" fillId="8" borderId="18" xfId="0" applyNumberFormat="1" applyFont="1" applyFill="1" applyBorder="1" applyAlignment="1">
      <alignment vertical="center" wrapText="1"/>
    </xf>
    <xf numFmtId="165" fontId="5" fillId="8" borderId="46" xfId="0" applyNumberFormat="1" applyFont="1" applyFill="1" applyBorder="1" applyAlignment="1">
      <alignment vertical="center" wrapText="1"/>
    </xf>
    <xf numFmtId="165" fontId="5" fillId="8" borderId="3" xfId="0" applyNumberFormat="1" applyFont="1" applyFill="1" applyBorder="1" applyAlignment="1">
      <alignment vertical="center" wrapText="1"/>
    </xf>
    <xf numFmtId="167" fontId="7" fillId="0" borderId="3" xfId="0" applyNumberFormat="1" applyFont="1" applyBorder="1" applyAlignment="1">
      <alignment vertical="center" wrapText="1"/>
    </xf>
    <xf numFmtId="165" fontId="7" fillId="0" borderId="19" xfId="0" applyNumberFormat="1" applyFont="1" applyBorder="1" applyAlignment="1">
      <alignment vertical="center" wrapText="1"/>
    </xf>
    <xf numFmtId="167" fontId="7" fillId="0" borderId="4" xfId="0" applyNumberFormat="1" applyFont="1" applyBorder="1" applyAlignment="1">
      <alignment vertical="center" wrapText="1"/>
    </xf>
    <xf numFmtId="165" fontId="5" fillId="0" borderId="0" xfId="0" applyNumberFormat="1" applyFont="1" applyAlignment="1">
      <alignment vertical="center" wrapText="1"/>
    </xf>
    <xf numFmtId="168" fontId="22" fillId="0" borderId="0" xfId="0" applyNumberFormat="1" applyFont="1" applyAlignment="1" applyProtection="1">
      <alignment horizontal="right" vertical="center" wrapText="1"/>
      <protection locked="0"/>
    </xf>
    <xf numFmtId="16" fontId="5" fillId="2" borderId="0" xfId="0" applyNumberFormat="1" applyFont="1" applyFill="1" applyAlignment="1">
      <alignment vertical="center"/>
    </xf>
    <xf numFmtId="168" fontId="22" fillId="0" borderId="0" xfId="0" applyNumberFormat="1" applyFont="1" applyAlignment="1" applyProtection="1">
      <alignment horizontal="right"/>
      <protection locked="0"/>
    </xf>
    <xf numFmtId="0" fontId="20" fillId="2" borderId="0" xfId="0" applyFont="1" applyFill="1" applyAlignment="1">
      <alignment vertical="center"/>
    </xf>
    <xf numFmtId="168" fontId="11" fillId="2" borderId="0" xfId="0" applyNumberFormat="1" applyFont="1" applyFill="1" applyAlignment="1">
      <alignment vertical="center"/>
    </xf>
    <xf numFmtId="168" fontId="20" fillId="2" borderId="0" xfId="0" applyNumberFormat="1" applyFont="1" applyFill="1" applyAlignment="1">
      <alignment vertical="center"/>
    </xf>
    <xf numFmtId="0" fontId="20" fillId="9" borderId="0" xfId="0" applyFont="1" applyFill="1" applyAlignment="1">
      <alignment vertical="center"/>
    </xf>
    <xf numFmtId="169" fontId="20" fillId="2" borderId="0" xfId="0" applyNumberFormat="1" applyFont="1" applyFill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5" fillId="0" borderId="4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4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8" fillId="2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8" fillId="2" borderId="0" xfId="1" applyFont="1" applyFill="1" applyAlignment="1">
      <alignment horizontal="left" vertical="center" wrapText="1"/>
    </xf>
    <xf numFmtId="0" fontId="8" fillId="2" borderId="0" xfId="1" applyFont="1" applyFill="1" applyAlignment="1">
      <alignment horizontal="left" vertical="center"/>
    </xf>
    <xf numFmtId="166" fontId="5" fillId="0" borderId="0" xfId="1" applyNumberFormat="1" applyFont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8" fillId="0" borderId="11" xfId="1" applyFont="1" applyBorder="1" applyAlignment="1">
      <alignment horizontal="left" vertical="center" wrapText="1"/>
    </xf>
    <xf numFmtId="0" fontId="8" fillId="2" borderId="16" xfId="1" applyFont="1" applyFill="1" applyBorder="1" applyAlignment="1">
      <alignment horizontal="left" vertical="center"/>
    </xf>
    <xf numFmtId="0" fontId="8" fillId="2" borderId="19" xfId="1" applyFont="1" applyFill="1" applyBorder="1" applyAlignment="1">
      <alignment horizontal="left" vertical="center"/>
    </xf>
    <xf numFmtId="0" fontId="8" fillId="2" borderId="21" xfId="1" applyFont="1" applyFill="1" applyBorder="1" applyAlignment="1">
      <alignment horizontal="left" vertical="center"/>
    </xf>
    <xf numFmtId="0" fontId="8" fillId="2" borderId="5" xfId="1" applyFont="1" applyFill="1" applyBorder="1" applyAlignment="1">
      <alignment horizontal="center" vertical="center"/>
    </xf>
    <xf numFmtId="0" fontId="8" fillId="3" borderId="11" xfId="1" applyFont="1" applyFill="1" applyBorder="1" applyAlignment="1">
      <alignment horizontal="left" vertical="center"/>
    </xf>
    <xf numFmtId="0" fontId="8" fillId="0" borderId="11" xfId="1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2" borderId="30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5" fillId="2" borderId="16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24" fillId="0" borderId="11" xfId="1" applyFont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DBEEF4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CE6F2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3;&#1040;&#1058;&#1040;&#1051;&#1048;%20&#1047;&#1044;&#1056;&#1040;&#1042;\&#1044;&#1086;&#1082;&#1091;&#1084;&#1077;&#1085;&#1090;&#1099;\&#1062;&#1045;&#1053;&#1058;&#1056;%20&#1055;&#1052;&#1057;&#1055;\&#1060;&#1080;&#1085;.%20&#1087;&#1083;&#1072;&#1085;\2023\&#1044;&#1086;&#1076;&#1072;&#1090;&#1086;&#1082;%20&#1076;&#1086;%20&#1087;&#1086;&#1088;&#1103;&#1076;&#1082;&#1072;%20&#1060;&#1110;&#1085;&#1072;&#1085;&#1089;&#1086;&#1074;&#1080;&#1081;%20&#1087;&#1083;&#1072;&#1085;%20(&#1091;&#1090;&#1086;&#1095;.%204%20&#1082;&#1074;&#1072;&#1088;&#1090;&#1072;&#1083;%2020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0;&#1086;&#1088;&#1080;&#1089;&#1090;&#1091;&#1074;&#1072;&#1095;\Downloads\&#1044;&#1086;&#1076;&#1072;&#1090;&#1086;&#1082;%20&#1078;&#1077;&#1083;&#1090;&#1080;&#10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додаток 1 "/>
      <sheetName val="додаток 2- звіт"/>
    </sheetNames>
    <sheetDataSet>
      <sheetData sheetId="0">
        <row r="36">
          <cell r="F36">
            <v>55446.1</v>
          </cell>
          <cell r="J36">
            <v>10902.4</v>
          </cell>
        </row>
        <row r="38">
          <cell r="F38">
            <v>3011</v>
          </cell>
          <cell r="J38">
            <v>1317.4</v>
          </cell>
        </row>
        <row r="40">
          <cell r="F40">
            <v>7123.7</v>
          </cell>
          <cell r="J40">
            <v>1729.2</v>
          </cell>
        </row>
        <row r="45">
          <cell r="F45">
            <v>166.3</v>
          </cell>
          <cell r="J45">
            <v>131.4</v>
          </cell>
        </row>
        <row r="46">
          <cell r="F46">
            <v>0</v>
          </cell>
          <cell r="I46">
            <v>0</v>
          </cell>
        </row>
        <row r="47">
          <cell r="F47">
            <v>4656.8999999999996</v>
          </cell>
          <cell r="J47">
            <v>1090.8</v>
          </cell>
        </row>
        <row r="48">
          <cell r="F48">
            <v>83.1</v>
          </cell>
          <cell r="J48">
            <v>49.8</v>
          </cell>
        </row>
        <row r="49">
          <cell r="F49">
            <v>1496.6999999999998</v>
          </cell>
          <cell r="J49">
            <v>279.10000000000002</v>
          </cell>
        </row>
        <row r="50">
          <cell r="F50">
            <v>727.39999999999986</v>
          </cell>
          <cell r="J50">
            <v>184.8</v>
          </cell>
        </row>
        <row r="65">
          <cell r="F65">
            <v>43825.7</v>
          </cell>
          <cell r="J65">
            <v>9245</v>
          </cell>
        </row>
        <row r="66">
          <cell r="F66">
            <v>8801.2000000000007</v>
          </cell>
          <cell r="J66">
            <v>1537.5</v>
          </cell>
        </row>
        <row r="67">
          <cell r="F67">
            <v>998.3</v>
          </cell>
          <cell r="J67">
            <v>0</v>
          </cell>
        </row>
        <row r="73">
          <cell r="F73">
            <v>668</v>
          </cell>
          <cell r="J73">
            <v>0</v>
          </cell>
        </row>
        <row r="74">
          <cell r="F74">
            <v>0</v>
          </cell>
          <cell r="J74">
            <v>0</v>
          </cell>
        </row>
        <row r="75">
          <cell r="F75">
            <v>874.2</v>
          </cell>
          <cell r="J75">
            <v>57.20000000000001</v>
          </cell>
        </row>
        <row r="89">
          <cell r="F89">
            <v>0</v>
          </cell>
        </row>
        <row r="91">
          <cell r="F91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698.5</v>
          </cell>
          <cell r="J97">
            <v>173.2</v>
          </cell>
        </row>
        <row r="98">
          <cell r="F98">
            <v>5226.5</v>
          </cell>
          <cell r="J98">
            <v>1224.8</v>
          </cell>
        </row>
        <row r="99">
          <cell r="F99">
            <v>300.89999999999998</v>
          </cell>
          <cell r="J99">
            <v>126.9</v>
          </cell>
        </row>
        <row r="100">
          <cell r="F100">
            <v>807.2</v>
          </cell>
          <cell r="J100">
            <v>159.5</v>
          </cell>
        </row>
        <row r="101">
          <cell r="F101">
            <v>8.1</v>
          </cell>
          <cell r="J101">
            <v>2</v>
          </cell>
        </row>
        <row r="102">
          <cell r="F102">
            <v>6.9</v>
          </cell>
          <cell r="J102">
            <v>1.8</v>
          </cell>
        </row>
        <row r="103">
          <cell r="F103">
            <v>0</v>
          </cell>
        </row>
        <row r="107">
          <cell r="F107">
            <v>1070</v>
          </cell>
          <cell r="J107">
            <v>144</v>
          </cell>
        </row>
        <row r="108">
          <cell r="F108">
            <v>230</v>
          </cell>
          <cell r="J108">
            <v>31</v>
          </cell>
        </row>
        <row r="109">
          <cell r="F109">
            <v>170</v>
          </cell>
          <cell r="J109">
            <v>116</v>
          </cell>
        </row>
        <row r="110">
          <cell r="F110">
            <v>3618.1000000000004</v>
          </cell>
          <cell r="J110">
            <v>930</v>
          </cell>
        </row>
        <row r="111">
          <cell r="F111">
            <v>11.5</v>
          </cell>
          <cell r="J111">
            <v>6.5</v>
          </cell>
        </row>
        <row r="112">
          <cell r="F112">
            <v>377.50000000000006</v>
          </cell>
          <cell r="J112">
            <v>61.5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1646.6000000000001</v>
          </cell>
          <cell r="J115">
            <v>440.2</v>
          </cell>
        </row>
        <row r="117">
          <cell r="F117">
            <v>3011</v>
          </cell>
          <cell r="J117">
            <v>1317.4</v>
          </cell>
        </row>
        <row r="118">
          <cell r="F118">
            <v>1785</v>
          </cell>
          <cell r="J118">
            <v>904.2</v>
          </cell>
        </row>
        <row r="119">
          <cell r="F119">
            <v>216</v>
          </cell>
          <cell r="J119">
            <v>87.6</v>
          </cell>
        </row>
        <row r="120">
          <cell r="F120">
            <v>960</v>
          </cell>
          <cell r="J120">
            <v>311.3</v>
          </cell>
        </row>
        <row r="121">
          <cell r="F121">
            <v>0</v>
          </cell>
        </row>
        <row r="122">
          <cell r="F122">
            <v>50</v>
          </cell>
          <cell r="J122">
            <v>14.3</v>
          </cell>
        </row>
        <row r="123">
          <cell r="F123">
            <v>0</v>
          </cell>
        </row>
        <row r="132">
          <cell r="F132">
            <v>9031.2000000000007</v>
          </cell>
          <cell r="J132">
            <v>1568.5</v>
          </cell>
        </row>
        <row r="133">
          <cell r="F133">
            <v>8754.6999999999989</v>
          </cell>
          <cell r="J133">
            <v>1830.9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додаток 1 "/>
      <sheetName val="додаток 2- звіт"/>
    </sheetNames>
    <sheetDataSet>
      <sheetData sheetId="0">
        <row r="163">
          <cell r="I163">
            <v>0.2</v>
          </cell>
        </row>
        <row r="166">
          <cell r="I166">
            <v>17220.3</v>
          </cell>
          <cell r="J166">
            <v>17220.3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3"/>
  <sheetViews>
    <sheetView tabSelected="1" topLeftCell="A6" zoomScale="70" zoomScaleNormal="70" workbookViewId="0">
      <selection activeCell="B20" sqref="B20:H20"/>
    </sheetView>
  </sheetViews>
  <sheetFormatPr defaultColWidth="89" defaultRowHeight="30" x14ac:dyDescent="0.2"/>
  <cols>
    <col min="1" max="1" width="104.7109375" style="1" customWidth="1"/>
    <col min="2" max="2" width="9.42578125" style="2" customWidth="1"/>
    <col min="3" max="3" width="0" style="3" hidden="1" customWidth="1"/>
    <col min="4" max="4" width="14.28515625" style="3" customWidth="1"/>
    <col min="5" max="5" width="16.42578125" style="3" customWidth="1"/>
    <col min="6" max="6" width="21.42578125" style="1" customWidth="1"/>
    <col min="7" max="7" width="16.5703125" style="1" customWidth="1"/>
    <col min="8" max="8" width="17.42578125" style="1" customWidth="1"/>
    <col min="9" max="9" width="16.5703125" style="1" customWidth="1"/>
    <col min="10" max="10" width="19" style="1" customWidth="1"/>
    <col min="11" max="11" width="24.85546875" style="1" customWidth="1"/>
    <col min="12" max="12" width="0" style="4" hidden="1" customWidth="1"/>
    <col min="13" max="13" width="9.7109375" style="4" customWidth="1"/>
    <col min="14" max="14" width="22.7109375" style="4" customWidth="1"/>
    <col min="15" max="255" width="9.140625" style="4" customWidth="1"/>
    <col min="256" max="16384" width="89" style="4"/>
  </cols>
  <sheetData>
    <row r="1" spans="1:12" s="5" customFormat="1" ht="18.75" x14ac:dyDescent="0.2">
      <c r="B1" s="6"/>
      <c r="C1" s="7"/>
      <c r="D1" s="7"/>
      <c r="E1" s="8"/>
      <c r="G1" s="9"/>
      <c r="H1" s="9"/>
      <c r="I1" s="9"/>
      <c r="J1" s="9"/>
      <c r="K1" s="10" t="s">
        <v>0</v>
      </c>
    </row>
    <row r="2" spans="1:12" s="5" customFormat="1" ht="19.5" x14ac:dyDescent="0.2">
      <c r="A2" s="11" t="s">
        <v>270</v>
      </c>
      <c r="B2" s="12"/>
      <c r="C2" s="13"/>
      <c r="D2" s="379" t="s">
        <v>1</v>
      </c>
      <c r="E2" s="380"/>
      <c r="F2" s="15"/>
      <c r="G2" s="15"/>
      <c r="H2" s="15"/>
      <c r="K2" s="11"/>
    </row>
    <row r="3" spans="1:12" s="5" customFormat="1" ht="39" x14ac:dyDescent="0.2">
      <c r="A3" s="32" t="s">
        <v>280</v>
      </c>
      <c r="B3" s="12"/>
      <c r="C3" s="13"/>
      <c r="D3" s="14"/>
      <c r="E3" s="15"/>
      <c r="F3" s="15"/>
      <c r="G3" s="15"/>
      <c r="H3" s="15"/>
      <c r="K3" s="11"/>
    </row>
    <row r="4" spans="1:12" s="5" customFormat="1" ht="19.5" x14ac:dyDescent="0.2">
      <c r="A4" s="11" t="s">
        <v>332</v>
      </c>
      <c r="B4" s="12"/>
      <c r="C4" s="13"/>
      <c r="D4" s="381" t="s">
        <v>281</v>
      </c>
      <c r="E4" s="380"/>
      <c r="F4" s="380"/>
      <c r="G4" s="380"/>
      <c r="H4" s="380"/>
      <c r="K4" s="11"/>
    </row>
    <row r="5" spans="1:12" s="5" customFormat="1" ht="19.5" x14ac:dyDescent="0.2">
      <c r="A5" s="11"/>
      <c r="B5" s="12"/>
      <c r="C5" s="13"/>
      <c r="D5" s="382" t="s">
        <v>330</v>
      </c>
      <c r="E5" s="380"/>
      <c r="F5" s="380"/>
      <c r="G5" s="380"/>
      <c r="H5" s="380"/>
      <c r="I5" s="380"/>
      <c r="J5" s="15"/>
      <c r="K5" s="11"/>
    </row>
    <row r="6" spans="1:12" s="5" customFormat="1" ht="20.25" thickBot="1" x14ac:dyDescent="0.25">
      <c r="A6" s="11" t="s">
        <v>270</v>
      </c>
      <c r="B6" s="12" t="s">
        <v>2</v>
      </c>
      <c r="C6" s="13"/>
      <c r="D6" s="14"/>
      <c r="E6" s="14"/>
      <c r="F6" s="15"/>
      <c r="G6" s="15"/>
      <c r="H6" s="15"/>
      <c r="I6" s="15"/>
      <c r="J6" s="15"/>
      <c r="K6" s="11"/>
    </row>
    <row r="7" spans="1:12" s="5" customFormat="1" ht="19.5" x14ac:dyDescent="0.2">
      <c r="A7" s="11" t="s">
        <v>271</v>
      </c>
      <c r="B7" s="12"/>
      <c r="C7" s="13"/>
      <c r="E7" s="202"/>
      <c r="F7" s="202"/>
      <c r="G7" s="201"/>
      <c r="H7" s="11"/>
      <c r="I7" s="386" t="s">
        <v>3</v>
      </c>
      <c r="J7" s="386"/>
      <c r="K7" s="16" t="s">
        <v>4</v>
      </c>
      <c r="L7" s="17" t="s">
        <v>4</v>
      </c>
    </row>
    <row r="8" spans="1:12" s="5" customFormat="1" ht="39.75" thickBot="1" x14ac:dyDescent="0.25">
      <c r="A8" s="32" t="s">
        <v>283</v>
      </c>
      <c r="B8" s="12"/>
      <c r="C8" s="13"/>
      <c r="D8" s="381" t="s">
        <v>282</v>
      </c>
      <c r="E8" s="381"/>
      <c r="F8" s="381"/>
      <c r="G8" s="203"/>
      <c r="H8" s="11" t="s">
        <v>277</v>
      </c>
      <c r="I8" s="387" t="s">
        <v>5</v>
      </c>
      <c r="J8" s="387"/>
      <c r="K8" s="18"/>
      <c r="L8" s="17"/>
    </row>
    <row r="9" spans="1:12" s="5" customFormat="1" ht="19.5" x14ac:dyDescent="0.2">
      <c r="A9" s="11" t="s">
        <v>331</v>
      </c>
      <c r="B9" s="12"/>
      <c r="C9" s="13"/>
      <c r="D9" s="14"/>
      <c r="E9" s="14"/>
      <c r="F9" s="15"/>
      <c r="G9" s="15"/>
      <c r="H9" s="11"/>
      <c r="I9" s="387" t="s">
        <v>6</v>
      </c>
      <c r="J9" s="387"/>
      <c r="K9" s="16"/>
      <c r="L9" s="17"/>
    </row>
    <row r="10" spans="1:12" s="5" customFormat="1" ht="19.5" x14ac:dyDescent="0.2">
      <c r="A10" s="11"/>
      <c r="B10" s="12"/>
      <c r="C10" s="13"/>
      <c r="D10" s="14"/>
      <c r="E10" s="14"/>
      <c r="F10" s="15"/>
      <c r="G10" s="15"/>
      <c r="H10" s="11"/>
      <c r="I10" s="387" t="s">
        <v>7</v>
      </c>
      <c r="J10" s="387"/>
      <c r="K10" s="18"/>
      <c r="L10" s="17"/>
    </row>
    <row r="11" spans="1:12" s="5" customFormat="1" ht="20.25" thickBot="1" x14ac:dyDescent="0.25">
      <c r="A11" s="11"/>
      <c r="B11" s="12"/>
      <c r="C11" s="13"/>
      <c r="D11" s="14"/>
      <c r="E11" s="14"/>
      <c r="F11" s="15"/>
      <c r="G11" s="15"/>
      <c r="H11" s="11"/>
      <c r="I11" s="388" t="s">
        <v>8</v>
      </c>
      <c r="J11" s="388"/>
      <c r="K11" s="19"/>
      <c r="L11" s="17"/>
    </row>
    <row r="12" spans="1:12" s="5" customFormat="1" ht="19.5" x14ac:dyDescent="0.2">
      <c r="A12" s="11"/>
      <c r="B12" s="12"/>
      <c r="C12" s="13"/>
      <c r="D12" s="14"/>
      <c r="E12" s="14"/>
      <c r="F12" s="15"/>
      <c r="G12" s="15"/>
      <c r="H12" s="15"/>
      <c r="I12" s="15"/>
      <c r="J12" s="15"/>
      <c r="K12" s="11"/>
    </row>
    <row r="13" spans="1:12" s="5" customFormat="1" ht="20.25" thickBot="1" x14ac:dyDescent="0.25">
      <c r="A13" s="11"/>
      <c r="B13" s="12"/>
      <c r="C13" s="20"/>
      <c r="D13" s="20"/>
      <c r="E13" s="20"/>
      <c r="F13" s="20"/>
      <c r="G13" s="15"/>
      <c r="H13" s="15"/>
      <c r="I13" s="389"/>
      <c r="J13" s="389"/>
      <c r="K13" s="11"/>
    </row>
    <row r="14" spans="1:12" s="5" customFormat="1" ht="20.25" thickBot="1" x14ac:dyDescent="0.25">
      <c r="A14" s="21" t="s">
        <v>9</v>
      </c>
      <c r="B14" s="390">
        <v>2025</v>
      </c>
      <c r="C14" s="390"/>
      <c r="D14" s="390"/>
      <c r="E14" s="390"/>
      <c r="F14" s="390"/>
      <c r="G14" s="390"/>
      <c r="H14" s="390"/>
      <c r="I14" s="391" t="s">
        <v>10</v>
      </c>
      <c r="J14" s="391"/>
      <c r="K14" s="391"/>
      <c r="L14" s="22"/>
    </row>
    <row r="15" spans="1:12" s="5" customFormat="1" ht="20.25" thickBot="1" x14ac:dyDescent="0.25">
      <c r="A15" s="23" t="s">
        <v>11</v>
      </c>
      <c r="B15" s="385" t="s">
        <v>293</v>
      </c>
      <c r="C15" s="385"/>
      <c r="D15" s="385"/>
      <c r="E15" s="385"/>
      <c r="F15" s="385"/>
      <c r="G15" s="385"/>
      <c r="H15" s="385"/>
      <c r="I15" s="385" t="s">
        <v>12</v>
      </c>
      <c r="J15" s="385"/>
      <c r="K15" s="24">
        <v>37803279</v>
      </c>
      <c r="L15" s="25"/>
    </row>
    <row r="16" spans="1:12" s="5" customFormat="1" ht="20.25" thickBot="1" x14ac:dyDescent="0.25">
      <c r="A16" s="21" t="s">
        <v>13</v>
      </c>
      <c r="B16" s="385" t="s">
        <v>294</v>
      </c>
      <c r="C16" s="385"/>
      <c r="D16" s="385"/>
      <c r="E16" s="385"/>
      <c r="F16" s="385"/>
      <c r="G16" s="385"/>
      <c r="H16" s="385"/>
      <c r="I16" s="385" t="s">
        <v>14</v>
      </c>
      <c r="J16" s="385"/>
      <c r="K16" s="26"/>
      <c r="L16" s="25"/>
    </row>
    <row r="17" spans="1:12" s="5" customFormat="1" ht="20.25" thickBot="1" x14ac:dyDescent="0.25">
      <c r="A17" s="21" t="s">
        <v>15</v>
      </c>
      <c r="B17" s="385" t="s">
        <v>295</v>
      </c>
      <c r="C17" s="385"/>
      <c r="D17" s="385"/>
      <c r="E17" s="385"/>
      <c r="F17" s="385"/>
      <c r="G17" s="385"/>
      <c r="H17" s="385"/>
      <c r="I17" s="385" t="s">
        <v>16</v>
      </c>
      <c r="J17" s="385"/>
      <c r="K17" s="26"/>
      <c r="L17" s="25"/>
    </row>
    <row r="18" spans="1:12" s="5" customFormat="1" ht="20.25" thickBot="1" x14ac:dyDescent="0.25">
      <c r="A18" s="21" t="s">
        <v>17</v>
      </c>
      <c r="B18" s="385"/>
      <c r="C18" s="385"/>
      <c r="D18" s="385"/>
      <c r="E18" s="385"/>
      <c r="F18" s="385"/>
      <c r="G18" s="385"/>
      <c r="H18" s="385"/>
      <c r="I18" s="385" t="s">
        <v>18</v>
      </c>
      <c r="J18" s="385"/>
      <c r="K18" s="26"/>
      <c r="L18" s="25"/>
    </row>
    <row r="19" spans="1:12" s="5" customFormat="1" ht="20.25" thickBot="1" x14ac:dyDescent="0.25">
      <c r="A19" s="21" t="s">
        <v>19</v>
      </c>
      <c r="B19" s="385" t="s">
        <v>303</v>
      </c>
      <c r="C19" s="385"/>
      <c r="D19" s="385"/>
      <c r="E19" s="385"/>
      <c r="F19" s="385"/>
      <c r="G19" s="385"/>
      <c r="H19" s="385"/>
      <c r="I19" s="385" t="s">
        <v>20</v>
      </c>
      <c r="J19" s="385"/>
      <c r="K19" s="26"/>
      <c r="L19" s="25"/>
    </row>
    <row r="20" spans="1:12" s="5" customFormat="1" ht="20.25" thickBot="1" x14ac:dyDescent="0.25">
      <c r="A20" s="21" t="s">
        <v>21</v>
      </c>
      <c r="B20" s="385" t="s">
        <v>297</v>
      </c>
      <c r="C20" s="385"/>
      <c r="D20" s="385"/>
      <c r="E20" s="385"/>
      <c r="F20" s="385"/>
      <c r="G20" s="385"/>
      <c r="H20" s="385"/>
      <c r="I20" s="385" t="s">
        <v>22</v>
      </c>
      <c r="J20" s="385"/>
      <c r="K20" s="26" t="s">
        <v>296</v>
      </c>
      <c r="L20" s="25"/>
    </row>
    <row r="21" spans="1:12" s="5" customFormat="1" ht="20.25" thickBot="1" x14ac:dyDescent="0.25">
      <c r="A21" s="21" t="s">
        <v>23</v>
      </c>
      <c r="B21" s="385" t="s">
        <v>298</v>
      </c>
      <c r="C21" s="385"/>
      <c r="D21" s="385"/>
      <c r="E21" s="385"/>
      <c r="F21" s="385"/>
      <c r="G21" s="385"/>
      <c r="H21" s="385"/>
      <c r="I21" s="27"/>
      <c r="J21" s="28"/>
      <c r="K21" s="26"/>
      <c r="L21" s="29"/>
    </row>
    <row r="22" spans="1:12" s="5" customFormat="1" ht="20.25" thickBot="1" x14ac:dyDescent="0.25">
      <c r="A22" s="21" t="s">
        <v>24</v>
      </c>
      <c r="B22" s="385" t="s">
        <v>299</v>
      </c>
      <c r="C22" s="385"/>
      <c r="D22" s="385"/>
      <c r="E22" s="385"/>
      <c r="F22" s="385"/>
      <c r="G22" s="385"/>
      <c r="H22" s="385"/>
      <c r="I22" s="30"/>
      <c r="J22" s="31"/>
      <c r="K22" s="26"/>
      <c r="L22" s="22"/>
    </row>
    <row r="23" spans="1:12" s="5" customFormat="1" ht="20.25" thickBot="1" x14ac:dyDescent="0.25">
      <c r="A23" s="21" t="s">
        <v>25</v>
      </c>
      <c r="B23" s="385">
        <v>233</v>
      </c>
      <c r="C23" s="385"/>
      <c r="D23" s="385"/>
      <c r="E23" s="385"/>
      <c r="F23" s="385"/>
      <c r="G23" s="385"/>
      <c r="H23" s="385"/>
      <c r="I23" s="385"/>
      <c r="J23" s="385"/>
      <c r="K23" s="26"/>
      <c r="L23" s="25"/>
    </row>
    <row r="24" spans="1:12" s="5" customFormat="1" ht="20.25" thickBot="1" x14ac:dyDescent="0.25">
      <c r="A24" s="21" t="s">
        <v>26</v>
      </c>
      <c r="B24" s="417" t="s">
        <v>333</v>
      </c>
      <c r="C24" s="385"/>
      <c r="D24" s="385"/>
      <c r="E24" s="385"/>
      <c r="F24" s="385"/>
      <c r="G24" s="385"/>
      <c r="H24" s="385"/>
      <c r="I24" s="385"/>
      <c r="J24" s="385"/>
      <c r="K24" s="26"/>
      <c r="L24" s="25"/>
    </row>
    <row r="25" spans="1:12" s="5" customFormat="1" ht="20.25" thickBot="1" x14ac:dyDescent="0.25">
      <c r="A25" s="21" t="s">
        <v>27</v>
      </c>
      <c r="B25" s="385"/>
      <c r="C25" s="385"/>
      <c r="D25" s="385"/>
      <c r="E25" s="385"/>
      <c r="F25" s="385"/>
      <c r="G25" s="385"/>
      <c r="H25" s="385"/>
      <c r="I25" s="32"/>
      <c r="J25" s="32"/>
      <c r="K25" s="32"/>
      <c r="L25" s="29"/>
    </row>
    <row r="26" spans="1:12" s="5" customFormat="1" ht="20.25" thickBot="1" x14ac:dyDescent="0.25">
      <c r="A26" s="21" t="s">
        <v>28</v>
      </c>
      <c r="B26" s="385" t="s">
        <v>301</v>
      </c>
      <c r="C26" s="385"/>
      <c r="D26" s="385"/>
      <c r="E26" s="385"/>
      <c r="F26" s="385"/>
      <c r="G26" s="385"/>
      <c r="H26" s="385"/>
      <c r="I26" s="11"/>
      <c r="J26" s="11"/>
      <c r="K26" s="11"/>
    </row>
    <row r="27" spans="1:12" s="5" customFormat="1" ht="18.75" x14ac:dyDescent="0.2">
      <c r="A27" s="33"/>
      <c r="B27" s="34"/>
      <c r="C27" s="7"/>
      <c r="D27" s="7"/>
      <c r="E27" s="7"/>
    </row>
    <row r="28" spans="1:12" s="5" customFormat="1" ht="20.25" x14ac:dyDescent="0.2">
      <c r="A28" s="370"/>
      <c r="B28" s="370"/>
      <c r="C28" s="370"/>
      <c r="D28" s="370"/>
      <c r="E28" s="370"/>
      <c r="F28" s="370"/>
      <c r="G28" s="370"/>
      <c r="H28" s="370"/>
      <c r="I28" s="370"/>
      <c r="J28" s="370"/>
    </row>
    <row r="29" spans="1:12" s="5" customFormat="1" ht="21" thickBot="1" x14ac:dyDescent="0.25">
      <c r="A29" s="35"/>
      <c r="B29" s="34"/>
      <c r="C29" s="35"/>
      <c r="D29" s="35"/>
      <c r="E29" s="35"/>
      <c r="F29" s="35"/>
      <c r="G29" s="35"/>
      <c r="H29" s="35"/>
      <c r="I29" s="35"/>
      <c r="J29" s="36" t="s">
        <v>29</v>
      </c>
    </row>
    <row r="30" spans="1:12" s="5" customFormat="1" ht="19.5" thickBot="1" x14ac:dyDescent="0.25">
      <c r="A30" s="371" t="s">
        <v>30</v>
      </c>
      <c r="B30" s="372" t="s">
        <v>31</v>
      </c>
      <c r="C30" s="373" t="s">
        <v>32</v>
      </c>
      <c r="D30" s="376" t="s">
        <v>318</v>
      </c>
      <c r="E30" s="376" t="s">
        <v>319</v>
      </c>
      <c r="F30" s="378" t="s">
        <v>320</v>
      </c>
      <c r="G30" s="378" t="s">
        <v>33</v>
      </c>
      <c r="H30" s="378"/>
      <c r="I30" s="378"/>
      <c r="J30" s="378"/>
      <c r="K30" s="373" t="s">
        <v>34</v>
      </c>
    </row>
    <row r="31" spans="1:12" s="5" customFormat="1" ht="69.75" customHeight="1" thickBot="1" x14ac:dyDescent="0.25">
      <c r="A31" s="371"/>
      <c r="B31" s="372"/>
      <c r="C31" s="373"/>
      <c r="D31" s="377"/>
      <c r="E31" s="377"/>
      <c r="F31" s="378"/>
      <c r="G31" s="37" t="s">
        <v>35</v>
      </c>
      <c r="H31" s="38" t="s">
        <v>36</v>
      </c>
      <c r="I31" s="39" t="s">
        <v>37</v>
      </c>
      <c r="J31" s="38" t="s">
        <v>38</v>
      </c>
      <c r="K31" s="373"/>
    </row>
    <row r="32" spans="1:12" s="46" customFormat="1" ht="13.5" thickBot="1" x14ac:dyDescent="0.25">
      <c r="A32" s="40">
        <v>1</v>
      </c>
      <c r="B32" s="41"/>
      <c r="C32" s="42">
        <v>2</v>
      </c>
      <c r="D32" s="43">
        <v>3</v>
      </c>
      <c r="E32" s="43">
        <v>4</v>
      </c>
      <c r="F32" s="43">
        <v>5</v>
      </c>
      <c r="G32" s="44">
        <v>6</v>
      </c>
      <c r="H32" s="45">
        <v>7</v>
      </c>
      <c r="I32" s="44">
        <v>8</v>
      </c>
      <c r="J32" s="42">
        <v>9</v>
      </c>
      <c r="K32" s="43">
        <v>10</v>
      </c>
    </row>
    <row r="33" spans="1:11" s="51" customFormat="1" ht="21" thickBot="1" x14ac:dyDescent="0.25">
      <c r="A33" s="47" t="s">
        <v>39</v>
      </c>
      <c r="B33" s="48">
        <v>1</v>
      </c>
      <c r="C33" s="49">
        <v>1000</v>
      </c>
      <c r="D33" s="50"/>
      <c r="E33" s="47"/>
      <c r="F33" s="47"/>
      <c r="G33" s="47"/>
      <c r="H33" s="50"/>
      <c r="I33" s="47"/>
      <c r="J33" s="47"/>
      <c r="K33" s="47"/>
    </row>
    <row r="34" spans="1:11" s="55" customFormat="1" ht="21" thickBot="1" x14ac:dyDescent="0.25">
      <c r="A34" s="52" t="s">
        <v>40</v>
      </c>
      <c r="B34" s="53">
        <f t="shared" ref="B34:B40" si="0">B33+1</f>
        <v>2</v>
      </c>
      <c r="C34" s="54">
        <v>1010</v>
      </c>
      <c r="D34" s="220">
        <f>D36+D37+D43+D44</f>
        <v>74700.800000000003</v>
      </c>
      <c r="E34" s="220">
        <f>E36+E37+E43+E44</f>
        <v>70404</v>
      </c>
      <c r="F34" s="220">
        <f>G34+H34+I34+J34</f>
        <v>65331.199999999997</v>
      </c>
      <c r="G34" s="249">
        <f>G36+G37+G43+G44</f>
        <v>17207.3</v>
      </c>
      <c r="H34" s="221">
        <f>H36+H37+H43+H44</f>
        <v>15522.300000000001</v>
      </c>
      <c r="I34" s="221">
        <f>I36+I37+I43+I44</f>
        <v>15618.9</v>
      </c>
      <c r="J34" s="221">
        <f>J36+J37+J43+J44</f>
        <v>16982.7</v>
      </c>
      <c r="K34" s="206"/>
    </row>
    <row r="35" spans="1:11" s="60" customFormat="1" ht="18.75" x14ac:dyDescent="0.2">
      <c r="A35" s="56" t="s">
        <v>41</v>
      </c>
      <c r="B35" s="57">
        <f t="shared" si="0"/>
        <v>3</v>
      </c>
      <c r="C35" s="58">
        <v>1020</v>
      </c>
      <c r="D35" s="222"/>
      <c r="E35" s="223"/>
      <c r="F35" s="59"/>
      <c r="G35" s="223"/>
      <c r="H35" s="223"/>
      <c r="I35" s="223"/>
      <c r="J35" s="223"/>
      <c r="K35" s="208"/>
    </row>
    <row r="36" spans="1:11" s="60" customFormat="1" ht="18.75" x14ac:dyDescent="0.2">
      <c r="A36" s="61" t="s">
        <v>42</v>
      </c>
      <c r="B36" s="62">
        <f t="shared" si="0"/>
        <v>4</v>
      </c>
      <c r="C36" s="63">
        <v>1030</v>
      </c>
      <c r="D36" s="224">
        <v>55014.8</v>
      </c>
      <c r="E36" s="225">
        <v>52192.3</v>
      </c>
      <c r="F36" s="224">
        <f>G36+H36+I36+J36</f>
        <v>48750</v>
      </c>
      <c r="G36" s="225">
        <f>4100*3</f>
        <v>12300</v>
      </c>
      <c r="H36" s="225">
        <f t="shared" ref="H36:J36" si="1">4050*3</f>
        <v>12150</v>
      </c>
      <c r="I36" s="225">
        <f t="shared" si="1"/>
        <v>12150</v>
      </c>
      <c r="J36" s="225">
        <f t="shared" si="1"/>
        <v>12150</v>
      </c>
      <c r="K36" s="279"/>
    </row>
    <row r="37" spans="1:11" s="60" customFormat="1" ht="18.75" x14ac:dyDescent="0.2">
      <c r="A37" s="61" t="s">
        <v>43</v>
      </c>
      <c r="B37" s="62">
        <f t="shared" si="0"/>
        <v>5</v>
      </c>
      <c r="C37" s="63">
        <v>1040</v>
      </c>
      <c r="D37" s="224">
        <f t="shared" ref="D37:J37" si="2">SUM(D38:D40)</f>
        <v>12555.800000000001</v>
      </c>
      <c r="E37" s="224">
        <f t="shared" si="2"/>
        <v>13826.2</v>
      </c>
      <c r="F37" s="224">
        <f t="shared" si="2"/>
        <v>16208</v>
      </c>
      <c r="G37" s="224">
        <f t="shared" si="2"/>
        <v>4682.3</v>
      </c>
      <c r="H37" s="224">
        <f t="shared" si="2"/>
        <v>3317.7</v>
      </c>
      <c r="I37" s="224">
        <f t="shared" si="2"/>
        <v>3414.2999999999997</v>
      </c>
      <c r="J37" s="224">
        <f t="shared" si="2"/>
        <v>4793.7000000000007</v>
      </c>
      <c r="K37" s="210"/>
    </row>
    <row r="38" spans="1:11" s="60" customFormat="1" ht="19.5" x14ac:dyDescent="0.2">
      <c r="A38" s="65" t="s">
        <v>44</v>
      </c>
      <c r="B38" s="62">
        <f t="shared" si="0"/>
        <v>6</v>
      </c>
      <c r="C38" s="66" t="s">
        <v>45</v>
      </c>
      <c r="D38" s="231">
        <v>4193.3</v>
      </c>
      <c r="E38" s="232">
        <v>5285.3</v>
      </c>
      <c r="F38" s="231">
        <f>SUM(G38:J38)</f>
        <v>4740</v>
      </c>
      <c r="G38" s="232">
        <v>1976.7</v>
      </c>
      <c r="H38" s="232">
        <v>764.4</v>
      </c>
      <c r="I38" s="232">
        <v>371.9</v>
      </c>
      <c r="J38" s="232">
        <v>1627</v>
      </c>
      <c r="K38" s="279"/>
    </row>
    <row r="39" spans="1:11" s="60" customFormat="1" ht="19.5" x14ac:dyDescent="0.2">
      <c r="A39" s="65" t="s">
        <v>46</v>
      </c>
      <c r="B39" s="62">
        <f t="shared" si="0"/>
        <v>7</v>
      </c>
      <c r="C39" s="67" t="s">
        <v>47</v>
      </c>
      <c r="D39" s="231">
        <v>2710.9</v>
      </c>
      <c r="E39" s="250">
        <v>1631.2</v>
      </c>
      <c r="F39" s="251">
        <f>SUM(G39:J39)</f>
        <v>3119.6</v>
      </c>
      <c r="G39" s="250">
        <v>461.3</v>
      </c>
      <c r="H39" s="250">
        <v>468.7</v>
      </c>
      <c r="I39" s="250">
        <v>1094.8</v>
      </c>
      <c r="J39" s="250">
        <v>1094.8</v>
      </c>
      <c r="K39" s="279" t="s">
        <v>314</v>
      </c>
    </row>
    <row r="40" spans="1:11" s="60" customFormat="1" ht="19.5" x14ac:dyDescent="0.2">
      <c r="A40" s="65" t="s">
        <v>48</v>
      </c>
      <c r="B40" s="62">
        <f t="shared" si="0"/>
        <v>8</v>
      </c>
      <c r="C40" s="67" t="s">
        <v>49</v>
      </c>
      <c r="D40" s="231">
        <f>5574.3+77.3</f>
        <v>5651.6</v>
      </c>
      <c r="E40" s="232">
        <v>6909.7</v>
      </c>
      <c r="F40" s="231">
        <f>SUM(G40:J40)</f>
        <v>8348.4</v>
      </c>
      <c r="G40" s="250">
        <f>2158.8+85.5</f>
        <v>2244.3000000000002</v>
      </c>
      <c r="H40" s="232">
        <f>2017.3+67.3</f>
        <v>2084.6</v>
      </c>
      <c r="I40" s="232">
        <f>1882.3+65.3</f>
        <v>1947.6</v>
      </c>
      <c r="J40" s="232">
        <f>2006.5+65.4</f>
        <v>2071.9</v>
      </c>
      <c r="K40" s="279" t="s">
        <v>329</v>
      </c>
    </row>
    <row r="41" spans="1:11" s="60" customFormat="1" ht="19.5" x14ac:dyDescent="0.2">
      <c r="A41" s="65" t="s">
        <v>50</v>
      </c>
      <c r="B41" s="62"/>
      <c r="C41" s="67"/>
      <c r="D41" s="224"/>
      <c r="E41" s="242"/>
      <c r="F41" s="236">
        <f>H41</f>
        <v>0</v>
      </c>
      <c r="G41" s="242"/>
      <c r="H41" s="242"/>
      <c r="I41" s="242"/>
      <c r="J41" s="242"/>
      <c r="K41" s="210"/>
    </row>
    <row r="42" spans="1:11" s="60" customFormat="1" ht="19.5" x14ac:dyDescent="0.2">
      <c r="A42" s="65" t="s">
        <v>51</v>
      </c>
      <c r="B42" s="62"/>
      <c r="C42" s="67"/>
      <c r="D42" s="224"/>
      <c r="E42" s="242"/>
      <c r="F42" s="236">
        <f>H42</f>
        <v>0</v>
      </c>
      <c r="G42" s="242"/>
      <c r="H42" s="242"/>
      <c r="I42" s="242"/>
      <c r="J42" s="242"/>
      <c r="K42" s="210"/>
    </row>
    <row r="43" spans="1:11" s="60" customFormat="1" ht="19.5" x14ac:dyDescent="0.2">
      <c r="A43" s="61" t="s">
        <v>52</v>
      </c>
      <c r="B43" s="62">
        <f>B40+1</f>
        <v>9</v>
      </c>
      <c r="C43" s="58">
        <v>1050</v>
      </c>
      <c r="D43" s="224">
        <v>0</v>
      </c>
      <c r="E43" s="225">
        <v>0</v>
      </c>
      <c r="F43" s="224">
        <f>SUM(G43:J43)</f>
        <v>0</v>
      </c>
      <c r="G43" s="242">
        <v>0</v>
      </c>
      <c r="H43" s="242">
        <v>0</v>
      </c>
      <c r="I43" s="242">
        <v>0</v>
      </c>
      <c r="J43" s="242">
        <v>0</v>
      </c>
      <c r="K43" s="210"/>
    </row>
    <row r="44" spans="1:11" s="60" customFormat="1" ht="18.75" x14ac:dyDescent="0.2">
      <c r="A44" s="61" t="s">
        <v>53</v>
      </c>
      <c r="B44" s="62">
        <f t="shared" ref="B44:B67" si="3">B43+1</f>
        <v>10</v>
      </c>
      <c r="C44" s="63">
        <v>1060</v>
      </c>
      <c r="D44" s="224">
        <f t="shared" ref="D44:J44" si="4">SUM(D45:D51)</f>
        <v>7130.1999999999989</v>
      </c>
      <c r="E44" s="224">
        <f t="shared" si="4"/>
        <v>4385.5</v>
      </c>
      <c r="F44" s="224">
        <f t="shared" si="4"/>
        <v>373.2</v>
      </c>
      <c r="G44" s="224">
        <f t="shared" si="4"/>
        <v>225</v>
      </c>
      <c r="H44" s="224">
        <f t="shared" si="4"/>
        <v>54.6</v>
      </c>
      <c r="I44" s="224">
        <f t="shared" si="4"/>
        <v>54.6</v>
      </c>
      <c r="J44" s="224">
        <f t="shared" si="4"/>
        <v>39</v>
      </c>
      <c r="K44" s="210"/>
    </row>
    <row r="45" spans="1:11" s="60" customFormat="1" ht="19.5" x14ac:dyDescent="0.2">
      <c r="A45" s="65" t="s">
        <v>54</v>
      </c>
      <c r="B45" s="62">
        <f t="shared" si="3"/>
        <v>11</v>
      </c>
      <c r="C45" s="66" t="s">
        <v>55</v>
      </c>
      <c r="D45" s="231">
        <v>166.3</v>
      </c>
      <c r="E45" s="232">
        <v>323.10000000000002</v>
      </c>
      <c r="F45" s="231">
        <f>SUM(G45:J45)</f>
        <v>193.2</v>
      </c>
      <c r="G45" s="232">
        <v>45</v>
      </c>
      <c r="H45" s="232">
        <v>54.6</v>
      </c>
      <c r="I45" s="232">
        <v>54.6</v>
      </c>
      <c r="J45" s="232">
        <v>39</v>
      </c>
      <c r="K45" s="327"/>
    </row>
    <row r="46" spans="1:11" s="55" customFormat="1" ht="20.25" x14ac:dyDescent="0.2">
      <c r="A46" s="65" t="s">
        <v>56</v>
      </c>
      <c r="B46" s="62">
        <f t="shared" si="3"/>
        <v>12</v>
      </c>
      <c r="C46" s="67" t="s">
        <v>57</v>
      </c>
      <c r="D46" s="231">
        <v>0</v>
      </c>
      <c r="E46" s="232">
        <v>0</v>
      </c>
      <c r="F46" s="231">
        <f t="shared" ref="F46:F51" si="5">SUM(G46:J46)</f>
        <v>0</v>
      </c>
      <c r="G46" s="232">
        <v>0</v>
      </c>
      <c r="H46" s="232">
        <v>0</v>
      </c>
      <c r="I46" s="232">
        <v>0</v>
      </c>
      <c r="J46" s="232">
        <v>0</v>
      </c>
      <c r="K46" s="210"/>
    </row>
    <row r="47" spans="1:11" s="60" customFormat="1" ht="25.5" x14ac:dyDescent="0.2">
      <c r="A47" s="65" t="s">
        <v>58</v>
      </c>
      <c r="B47" s="62">
        <f t="shared" si="3"/>
        <v>13</v>
      </c>
      <c r="C47" s="67" t="s">
        <v>59</v>
      </c>
      <c r="D47" s="231">
        <v>4656.8999999999996</v>
      </c>
      <c r="E47" s="232">
        <v>2788.9</v>
      </c>
      <c r="F47" s="231">
        <f t="shared" si="5"/>
        <v>0</v>
      </c>
      <c r="G47" s="232">
        <v>0</v>
      </c>
      <c r="H47" s="232">
        <v>0</v>
      </c>
      <c r="I47" s="232">
        <v>0</v>
      </c>
      <c r="J47" s="232">
        <v>0</v>
      </c>
      <c r="K47" s="279" t="s">
        <v>304</v>
      </c>
    </row>
    <row r="48" spans="1:11" s="60" customFormat="1" ht="19.5" x14ac:dyDescent="0.2">
      <c r="A48" s="68" t="s">
        <v>60</v>
      </c>
      <c r="B48" s="62">
        <f t="shared" si="3"/>
        <v>14</v>
      </c>
      <c r="C48" s="67" t="s">
        <v>61</v>
      </c>
      <c r="D48" s="231">
        <v>83</v>
      </c>
      <c r="E48" s="232">
        <v>13.2</v>
      </c>
      <c r="F48" s="231">
        <f t="shared" si="5"/>
        <v>0</v>
      </c>
      <c r="G48" s="232">
        <v>0</v>
      </c>
      <c r="H48" s="232">
        <v>0</v>
      </c>
      <c r="I48" s="232">
        <v>0</v>
      </c>
      <c r="J48" s="232">
        <v>0</v>
      </c>
      <c r="K48" s="279" t="s">
        <v>311</v>
      </c>
    </row>
    <row r="49" spans="1:11" s="60" customFormat="1" ht="19.5" x14ac:dyDescent="0.2">
      <c r="A49" s="69" t="s">
        <v>62</v>
      </c>
      <c r="B49" s="62">
        <f t="shared" si="3"/>
        <v>15</v>
      </c>
      <c r="C49" s="70" t="s">
        <v>63</v>
      </c>
      <c r="D49" s="241">
        <v>1496.6</v>
      </c>
      <c r="E49" s="243">
        <v>912</v>
      </c>
      <c r="F49" s="231">
        <f t="shared" si="5"/>
        <v>0</v>
      </c>
      <c r="G49" s="232">
        <v>0</v>
      </c>
      <c r="H49" s="232">
        <v>0</v>
      </c>
      <c r="I49" s="232">
        <v>0</v>
      </c>
      <c r="J49" s="232">
        <v>0</v>
      </c>
      <c r="K49" s="281" t="s">
        <v>308</v>
      </c>
    </row>
    <row r="50" spans="1:11" s="60" customFormat="1" ht="19.5" x14ac:dyDescent="0.2">
      <c r="A50" s="65" t="s">
        <v>64</v>
      </c>
      <c r="B50" s="62">
        <f t="shared" si="3"/>
        <v>16</v>
      </c>
      <c r="C50" s="67" t="s">
        <v>65</v>
      </c>
      <c r="D50" s="231">
        <v>727.4</v>
      </c>
      <c r="E50" s="232">
        <v>348.3</v>
      </c>
      <c r="F50" s="231">
        <f t="shared" si="5"/>
        <v>180</v>
      </c>
      <c r="G50" s="232">
        <v>180</v>
      </c>
      <c r="H50" s="232">
        <v>0</v>
      </c>
      <c r="I50" s="232">
        <v>0</v>
      </c>
      <c r="J50" s="232">
        <v>0</v>
      </c>
      <c r="K50" s="280" t="s">
        <v>305</v>
      </c>
    </row>
    <row r="51" spans="1:11" s="60" customFormat="1" ht="39.75" thickBot="1" x14ac:dyDescent="0.25">
      <c r="A51" s="65" t="s">
        <v>66</v>
      </c>
      <c r="B51" s="71">
        <f t="shared" si="3"/>
        <v>17</v>
      </c>
      <c r="C51" s="66" t="s">
        <v>67</v>
      </c>
      <c r="D51" s="231">
        <v>0</v>
      </c>
      <c r="E51" s="232">
        <v>0</v>
      </c>
      <c r="F51" s="231">
        <f t="shared" si="5"/>
        <v>0</v>
      </c>
      <c r="G51" s="232">
        <v>0</v>
      </c>
      <c r="H51" s="232">
        <v>0</v>
      </c>
      <c r="I51" s="232">
        <v>0</v>
      </c>
      <c r="J51" s="232">
        <v>0</v>
      </c>
      <c r="K51" s="210"/>
    </row>
    <row r="52" spans="1:11" s="60" customFormat="1" ht="21" thickBot="1" x14ac:dyDescent="0.25">
      <c r="A52" s="72" t="s">
        <v>68</v>
      </c>
      <c r="B52" s="73">
        <f t="shared" si="3"/>
        <v>18</v>
      </c>
      <c r="C52" s="49">
        <v>1070</v>
      </c>
      <c r="D52" s="228">
        <f t="shared" ref="D52:J52" si="6">D64+D94+D105</f>
        <v>73156.699999999983</v>
      </c>
      <c r="E52" s="228">
        <f t="shared" si="6"/>
        <v>74850.5</v>
      </c>
      <c r="F52" s="228">
        <f t="shared" si="6"/>
        <v>71688.799999999988</v>
      </c>
      <c r="G52" s="228">
        <f t="shared" si="6"/>
        <v>18689.800000000003</v>
      </c>
      <c r="H52" s="228">
        <f t="shared" si="6"/>
        <v>17191.5</v>
      </c>
      <c r="I52" s="228">
        <f t="shared" si="6"/>
        <v>17243.099999999999</v>
      </c>
      <c r="J52" s="228">
        <f t="shared" si="6"/>
        <v>18564.399999999998</v>
      </c>
      <c r="K52" s="213"/>
    </row>
    <row r="53" spans="1:11" s="60" customFormat="1" ht="19.5" thickBot="1" x14ac:dyDescent="0.25">
      <c r="A53" s="74" t="s">
        <v>69</v>
      </c>
      <c r="B53" s="73">
        <f t="shared" si="3"/>
        <v>19</v>
      </c>
      <c r="C53" s="75">
        <v>1080</v>
      </c>
      <c r="D53" s="76"/>
      <c r="E53" s="76"/>
      <c r="F53" s="76"/>
      <c r="G53" s="76"/>
      <c r="H53" s="76"/>
      <c r="I53" s="76"/>
      <c r="J53" s="76"/>
      <c r="K53" s="214"/>
    </row>
    <row r="54" spans="1:11" s="60" customFormat="1" ht="18.75" x14ac:dyDescent="0.2">
      <c r="A54" s="56" t="s">
        <v>70</v>
      </c>
      <c r="B54" s="57">
        <f t="shared" si="3"/>
        <v>20</v>
      </c>
      <c r="C54" s="58" t="s">
        <v>71</v>
      </c>
      <c r="D54" s="222"/>
      <c r="E54" s="222"/>
      <c r="F54" s="222"/>
      <c r="G54" s="222"/>
      <c r="H54" s="222"/>
      <c r="I54" s="222"/>
      <c r="J54" s="222"/>
      <c r="K54" s="207"/>
    </row>
    <row r="55" spans="1:11" s="60" customFormat="1" ht="18.75" x14ac:dyDescent="0.2">
      <c r="A55" s="61" t="s">
        <v>72</v>
      </c>
      <c r="B55" s="62">
        <f t="shared" si="3"/>
        <v>21</v>
      </c>
      <c r="C55" s="63" t="s">
        <v>73</v>
      </c>
      <c r="D55" s="224"/>
      <c r="E55" s="224"/>
      <c r="F55" s="224"/>
      <c r="G55" s="224"/>
      <c r="H55" s="224"/>
      <c r="I55" s="224"/>
      <c r="J55" s="224"/>
      <c r="K55" s="209"/>
    </row>
    <row r="56" spans="1:11" s="60" customFormat="1" ht="18.75" x14ac:dyDescent="0.2">
      <c r="A56" s="61" t="s">
        <v>74</v>
      </c>
      <c r="B56" s="62">
        <f t="shared" si="3"/>
        <v>22</v>
      </c>
      <c r="C56" s="63" t="s">
        <v>75</v>
      </c>
      <c r="D56" s="224"/>
      <c r="E56" s="224"/>
      <c r="F56" s="224"/>
      <c r="G56" s="224"/>
      <c r="H56" s="224"/>
      <c r="I56" s="224"/>
      <c r="J56" s="224"/>
      <c r="K56" s="209"/>
    </row>
    <row r="57" spans="1:11" s="60" customFormat="1" ht="18.75" x14ac:dyDescent="0.2">
      <c r="A57" s="61" t="s">
        <v>76</v>
      </c>
      <c r="B57" s="62">
        <f t="shared" si="3"/>
        <v>23</v>
      </c>
      <c r="C57" s="63" t="s">
        <v>77</v>
      </c>
      <c r="D57" s="224"/>
      <c r="E57" s="224"/>
      <c r="F57" s="224"/>
      <c r="G57" s="224"/>
      <c r="H57" s="224"/>
      <c r="I57" s="224"/>
      <c r="J57" s="224"/>
      <c r="K57" s="209"/>
    </row>
    <row r="58" spans="1:11" s="60" customFormat="1" ht="18.75" x14ac:dyDescent="0.2">
      <c r="A58" s="61" t="s">
        <v>78</v>
      </c>
      <c r="B58" s="62">
        <f t="shared" si="3"/>
        <v>24</v>
      </c>
      <c r="C58" s="63" t="s">
        <v>79</v>
      </c>
      <c r="D58" s="64"/>
      <c r="E58" s="64"/>
      <c r="F58" s="64"/>
      <c r="G58" s="64"/>
      <c r="H58" s="64"/>
      <c r="I58" s="64"/>
      <c r="J58" s="64"/>
      <c r="K58" s="209"/>
    </row>
    <row r="59" spans="1:11" s="60" customFormat="1" ht="18.75" x14ac:dyDescent="0.2">
      <c r="A59" s="61" t="s">
        <v>80</v>
      </c>
      <c r="B59" s="62">
        <f t="shared" si="3"/>
        <v>25</v>
      </c>
      <c r="C59" s="63" t="s">
        <v>81</v>
      </c>
      <c r="D59" s="64"/>
      <c r="E59" s="64"/>
      <c r="F59" s="64"/>
      <c r="G59" s="64"/>
      <c r="H59" s="64"/>
      <c r="I59" s="64"/>
      <c r="J59" s="64"/>
      <c r="K59" s="209"/>
    </row>
    <row r="60" spans="1:11" s="60" customFormat="1" ht="18.75" x14ac:dyDescent="0.2">
      <c r="A60" s="61" t="s">
        <v>82</v>
      </c>
      <c r="B60" s="62">
        <f t="shared" si="3"/>
        <v>26</v>
      </c>
      <c r="C60" s="63" t="s">
        <v>83</v>
      </c>
      <c r="D60" s="64"/>
      <c r="E60" s="64"/>
      <c r="F60" s="64"/>
      <c r="G60" s="64"/>
      <c r="H60" s="64"/>
      <c r="I60" s="64"/>
      <c r="J60" s="64"/>
      <c r="K60" s="209"/>
    </row>
    <row r="61" spans="1:11" s="60" customFormat="1" ht="18.75" x14ac:dyDescent="0.2">
      <c r="A61" s="61" t="s">
        <v>84</v>
      </c>
      <c r="B61" s="62">
        <f t="shared" si="3"/>
        <v>27</v>
      </c>
      <c r="C61" s="63" t="s">
        <v>85</v>
      </c>
      <c r="D61" s="64"/>
      <c r="E61" s="64"/>
      <c r="F61" s="64"/>
      <c r="G61" s="64"/>
      <c r="H61" s="64"/>
      <c r="I61" s="64"/>
      <c r="J61" s="64"/>
      <c r="K61" s="209"/>
    </row>
    <row r="62" spans="1:11" s="60" customFormat="1" ht="18.75" x14ac:dyDescent="0.2">
      <c r="A62" s="61" t="s">
        <v>86</v>
      </c>
      <c r="B62" s="62">
        <f t="shared" si="3"/>
        <v>28</v>
      </c>
      <c r="C62" s="63" t="s">
        <v>87</v>
      </c>
      <c r="D62" s="64"/>
      <c r="E62" s="64"/>
      <c r="F62" s="64"/>
      <c r="G62" s="64"/>
      <c r="H62" s="64"/>
      <c r="I62" s="64"/>
      <c r="J62" s="64"/>
      <c r="K62" s="209"/>
    </row>
    <row r="63" spans="1:11" s="60" customFormat="1" ht="19.5" thickBot="1" x14ac:dyDescent="0.25">
      <c r="A63" s="61" t="s">
        <v>88</v>
      </c>
      <c r="B63" s="71">
        <f t="shared" si="3"/>
        <v>29</v>
      </c>
      <c r="C63" s="63" t="s">
        <v>89</v>
      </c>
      <c r="D63" s="64"/>
      <c r="E63" s="64"/>
      <c r="F63" s="64"/>
      <c r="G63" s="64"/>
      <c r="H63" s="64"/>
      <c r="I63" s="64"/>
      <c r="J63" s="64"/>
      <c r="K63" s="209"/>
    </row>
    <row r="64" spans="1:11" s="60" customFormat="1" ht="19.5" thickBot="1" x14ac:dyDescent="0.25">
      <c r="A64" s="74" t="s">
        <v>90</v>
      </c>
      <c r="B64" s="73">
        <f t="shared" si="3"/>
        <v>30</v>
      </c>
      <c r="C64" s="75">
        <v>1090</v>
      </c>
      <c r="D64" s="76">
        <f t="shared" ref="D64:J64" si="7">D65+D66+D67+D73+D74+D75+D89+D90+D91+D92+D93</f>
        <v>53583.299999999988</v>
      </c>
      <c r="E64" s="76">
        <f t="shared" si="7"/>
        <v>56638.799999999996</v>
      </c>
      <c r="F64" s="76">
        <f t="shared" si="7"/>
        <v>55107.499999999993</v>
      </c>
      <c r="G64" s="76">
        <f t="shared" si="7"/>
        <v>13782.400000000001</v>
      </c>
      <c r="H64" s="76">
        <f t="shared" si="7"/>
        <v>13819.2</v>
      </c>
      <c r="I64" s="76">
        <f t="shared" si="7"/>
        <v>13774.2</v>
      </c>
      <c r="J64" s="76">
        <f t="shared" si="7"/>
        <v>13731.699999999999</v>
      </c>
      <c r="K64" s="214"/>
    </row>
    <row r="65" spans="1:11" s="60" customFormat="1" ht="18.75" x14ac:dyDescent="0.2">
      <c r="A65" s="56" t="s">
        <v>70</v>
      </c>
      <c r="B65" s="57">
        <f t="shared" si="3"/>
        <v>31</v>
      </c>
      <c r="C65" s="58" t="s">
        <v>91</v>
      </c>
      <c r="D65" s="222">
        <v>42699.7</v>
      </c>
      <c r="E65" s="253">
        <v>43139.7</v>
      </c>
      <c r="F65" s="239">
        <f>G65+H65+I65+J65</f>
        <v>41902.5</v>
      </c>
      <c r="G65" s="222">
        <v>10475.4</v>
      </c>
      <c r="H65" s="223">
        <v>10476.700000000001</v>
      </c>
      <c r="I65" s="223">
        <v>10475.200000000001</v>
      </c>
      <c r="J65" s="223">
        <v>10475.200000000001</v>
      </c>
      <c r="K65" s="207"/>
    </row>
    <row r="66" spans="1:11" s="60" customFormat="1" ht="18.75" x14ac:dyDescent="0.2">
      <c r="A66" s="61" t="s">
        <v>72</v>
      </c>
      <c r="B66" s="62">
        <f t="shared" si="3"/>
        <v>32</v>
      </c>
      <c r="C66" s="63" t="s">
        <v>92</v>
      </c>
      <c r="D66" s="224">
        <v>8770.6</v>
      </c>
      <c r="E66" s="77">
        <v>9059.2999999999993</v>
      </c>
      <c r="F66" s="225">
        <f>G66+H66+I66+J66</f>
        <v>8799.5</v>
      </c>
      <c r="G66" s="224">
        <v>2199.8000000000002</v>
      </c>
      <c r="H66" s="225">
        <v>2200.1</v>
      </c>
      <c r="I66" s="225">
        <v>2199.8000000000002</v>
      </c>
      <c r="J66" s="225">
        <v>2199.8000000000002</v>
      </c>
      <c r="K66" s="209"/>
    </row>
    <row r="67" spans="1:11" s="60" customFormat="1" ht="18.75" x14ac:dyDescent="0.2">
      <c r="A67" s="61" t="s">
        <v>74</v>
      </c>
      <c r="B67" s="62">
        <f t="shared" si="3"/>
        <v>33</v>
      </c>
      <c r="C67" s="63" t="s">
        <v>93</v>
      </c>
      <c r="D67" s="224">
        <f>SUM(D68:D72)</f>
        <v>742.7</v>
      </c>
      <c r="E67" s="224">
        <f>SUM(E68:E72)</f>
        <v>1431.2</v>
      </c>
      <c r="F67" s="225">
        <f>G67+H67+I67+J67</f>
        <v>1484</v>
      </c>
      <c r="G67" s="225">
        <f>SUM(G68:G72)</f>
        <v>380.79999999999995</v>
      </c>
      <c r="H67" s="225">
        <f>SUM(H68:H72)</f>
        <v>378.4</v>
      </c>
      <c r="I67" s="225">
        <f>SUM(I68:I72)</f>
        <v>377.9</v>
      </c>
      <c r="J67" s="225">
        <f>SUM(J68:J72)</f>
        <v>346.9</v>
      </c>
      <c r="K67" s="209"/>
    </row>
    <row r="68" spans="1:11" s="60" customFormat="1" ht="18.75" x14ac:dyDescent="0.2">
      <c r="A68" s="78" t="s">
        <v>94</v>
      </c>
      <c r="B68" s="62">
        <v>34</v>
      </c>
      <c r="C68" s="79" t="s">
        <v>95</v>
      </c>
      <c r="D68" s="231">
        <v>15.1</v>
      </c>
      <c r="E68" s="252">
        <v>44</v>
      </c>
      <c r="F68" s="232">
        <f t="shared" ref="F68:F74" si="8">G68+H68+I68+J68</f>
        <v>29.6</v>
      </c>
      <c r="G68" s="231">
        <v>7.4</v>
      </c>
      <c r="H68" s="232">
        <v>7.4</v>
      </c>
      <c r="I68" s="232">
        <v>7.4</v>
      </c>
      <c r="J68" s="232">
        <v>7.4</v>
      </c>
      <c r="K68" s="209"/>
    </row>
    <row r="69" spans="1:11" s="60" customFormat="1" ht="18.75" x14ac:dyDescent="0.2">
      <c r="A69" s="78" t="s">
        <v>96</v>
      </c>
      <c r="B69" s="62">
        <v>35</v>
      </c>
      <c r="C69" s="80" t="s">
        <v>97</v>
      </c>
      <c r="D69" s="231">
        <v>111.5</v>
      </c>
      <c r="E69" s="252">
        <v>0</v>
      </c>
      <c r="F69" s="232">
        <f t="shared" si="8"/>
        <v>0</v>
      </c>
      <c r="G69" s="231">
        <v>0</v>
      </c>
      <c r="H69" s="231">
        <v>0</v>
      </c>
      <c r="I69" s="231">
        <v>0</v>
      </c>
      <c r="J69" s="231">
        <v>0</v>
      </c>
      <c r="K69" s="209"/>
    </row>
    <row r="70" spans="1:11" s="60" customFormat="1" ht="18.75" x14ac:dyDescent="0.2">
      <c r="A70" s="78" t="s">
        <v>98</v>
      </c>
      <c r="B70" s="62">
        <v>36</v>
      </c>
      <c r="C70" s="80" t="s">
        <v>99</v>
      </c>
      <c r="D70" s="231">
        <f>587.4</f>
        <v>587.4</v>
      </c>
      <c r="E70" s="252">
        <v>1076.4000000000001</v>
      </c>
      <c r="F70" s="232">
        <f t="shared" si="8"/>
        <v>1149</v>
      </c>
      <c r="G70" s="231">
        <v>297</v>
      </c>
      <c r="H70" s="231">
        <v>297</v>
      </c>
      <c r="I70" s="231">
        <v>295.5</v>
      </c>
      <c r="J70" s="231">
        <v>259.5</v>
      </c>
      <c r="K70" s="209"/>
    </row>
    <row r="71" spans="1:11" s="60" customFormat="1" ht="18.75" x14ac:dyDescent="0.2">
      <c r="A71" s="78" t="s">
        <v>100</v>
      </c>
      <c r="B71" s="62">
        <v>37</v>
      </c>
      <c r="C71" s="80" t="s">
        <v>101</v>
      </c>
      <c r="D71" s="231">
        <v>28.7</v>
      </c>
      <c r="E71" s="252">
        <v>214</v>
      </c>
      <c r="F71" s="232">
        <f t="shared" si="8"/>
        <v>166.1</v>
      </c>
      <c r="G71" s="231">
        <v>42.7</v>
      </c>
      <c r="H71" s="232">
        <v>40.5</v>
      </c>
      <c r="I71" s="232">
        <v>41.5</v>
      </c>
      <c r="J71" s="232">
        <v>41.4</v>
      </c>
      <c r="K71" s="209"/>
    </row>
    <row r="72" spans="1:11" s="60" customFormat="1" ht="18.75" x14ac:dyDescent="0.2">
      <c r="A72" s="78" t="s">
        <v>102</v>
      </c>
      <c r="B72" s="62">
        <v>38</v>
      </c>
      <c r="C72" s="80" t="s">
        <v>103</v>
      </c>
      <c r="D72" s="231">
        <v>0</v>
      </c>
      <c r="E72" s="252">
        <v>96.8</v>
      </c>
      <c r="F72" s="232">
        <f t="shared" si="8"/>
        <v>139.30000000000001</v>
      </c>
      <c r="G72" s="231">
        <v>33.700000000000003</v>
      </c>
      <c r="H72" s="232">
        <v>33.5</v>
      </c>
      <c r="I72" s="232">
        <v>33.5</v>
      </c>
      <c r="J72" s="232">
        <v>38.6</v>
      </c>
      <c r="K72" s="209"/>
    </row>
    <row r="73" spans="1:11" s="60" customFormat="1" ht="18.75" x14ac:dyDescent="0.2">
      <c r="A73" s="61" t="s">
        <v>76</v>
      </c>
      <c r="B73" s="62">
        <v>39</v>
      </c>
      <c r="C73" s="58" t="s">
        <v>104</v>
      </c>
      <c r="D73" s="224">
        <v>547.1</v>
      </c>
      <c r="E73" s="77">
        <v>1707.6</v>
      </c>
      <c r="F73" s="225">
        <f>G73+H73+I73+J73</f>
        <v>1442.7000000000003</v>
      </c>
      <c r="G73" s="224">
        <v>371.1</v>
      </c>
      <c r="H73" s="225">
        <v>371.1</v>
      </c>
      <c r="I73" s="225">
        <v>371.1</v>
      </c>
      <c r="J73" s="225">
        <v>329.4</v>
      </c>
      <c r="K73" s="209"/>
    </row>
    <row r="74" spans="1:11" s="60" customFormat="1" ht="18.75" x14ac:dyDescent="0.2">
      <c r="A74" s="61" t="s">
        <v>78</v>
      </c>
      <c r="B74" s="62">
        <v>40</v>
      </c>
      <c r="C74" s="63" t="s">
        <v>105</v>
      </c>
      <c r="D74" s="224">
        <v>0</v>
      </c>
      <c r="E74" s="77">
        <v>0</v>
      </c>
      <c r="F74" s="225">
        <f t="shared" si="8"/>
        <v>0</v>
      </c>
      <c r="G74" s="224">
        <v>0</v>
      </c>
      <c r="H74" s="225">
        <v>0</v>
      </c>
      <c r="I74" s="225">
        <v>0</v>
      </c>
      <c r="J74" s="225">
        <v>0</v>
      </c>
      <c r="K74" s="209"/>
    </row>
    <row r="75" spans="1:11" s="60" customFormat="1" ht="18.75" x14ac:dyDescent="0.2">
      <c r="A75" s="61" t="s">
        <v>80</v>
      </c>
      <c r="B75" s="62">
        <v>41</v>
      </c>
      <c r="C75" s="63" t="s">
        <v>106</v>
      </c>
      <c r="D75" s="224">
        <f>SUM(D76:D88)</f>
        <v>823.20000000000016</v>
      </c>
      <c r="E75" s="224">
        <f>SUM(E76:E88)</f>
        <v>1132.3999999999999</v>
      </c>
      <c r="F75" s="225">
        <f>G75+H75+I75+J75</f>
        <v>1458.6000000000001</v>
      </c>
      <c r="G75" s="225">
        <f>SUM(G76:G88)</f>
        <v>350.1</v>
      </c>
      <c r="H75" s="225">
        <f>SUM(H76:H88)</f>
        <v>387.90000000000009</v>
      </c>
      <c r="I75" s="225">
        <f>SUM(I76:I88)</f>
        <v>345.2</v>
      </c>
      <c r="J75" s="225">
        <f>SUM(J76:J88)</f>
        <v>375.40000000000003</v>
      </c>
      <c r="K75" s="209"/>
    </row>
    <row r="76" spans="1:11" s="60" customFormat="1" ht="18.75" x14ac:dyDescent="0.2">
      <c r="A76" s="78" t="s">
        <v>107</v>
      </c>
      <c r="B76" s="62">
        <v>42</v>
      </c>
      <c r="C76" s="79" t="s">
        <v>108</v>
      </c>
      <c r="D76" s="231">
        <v>0</v>
      </c>
      <c r="E76" s="252">
        <v>0</v>
      </c>
      <c r="F76" s="232">
        <f>SUM(G76:J76)</f>
        <v>0</v>
      </c>
      <c r="G76" s="231">
        <v>0</v>
      </c>
      <c r="H76" s="231">
        <v>0</v>
      </c>
      <c r="I76" s="231">
        <v>0</v>
      </c>
      <c r="J76" s="231">
        <v>0</v>
      </c>
      <c r="K76" s="209"/>
    </row>
    <row r="77" spans="1:11" s="60" customFormat="1" ht="18.75" x14ac:dyDescent="0.2">
      <c r="A77" s="78" t="s">
        <v>109</v>
      </c>
      <c r="B77" s="62">
        <v>43</v>
      </c>
      <c r="C77" s="80" t="s">
        <v>110</v>
      </c>
      <c r="D77" s="231">
        <v>0</v>
      </c>
      <c r="E77" s="252">
        <v>0</v>
      </c>
      <c r="F77" s="232">
        <f t="shared" ref="F77:F88" si="9">SUM(G77:J77)</f>
        <v>0</v>
      </c>
      <c r="G77" s="231">
        <v>0</v>
      </c>
      <c r="H77" s="231">
        <v>0</v>
      </c>
      <c r="I77" s="231">
        <v>0</v>
      </c>
      <c r="J77" s="231">
        <v>0</v>
      </c>
      <c r="K77" s="209"/>
    </row>
    <row r="78" spans="1:11" s="60" customFormat="1" ht="18.75" x14ac:dyDescent="0.2">
      <c r="A78" s="78" t="s">
        <v>111</v>
      </c>
      <c r="B78" s="62">
        <v>44</v>
      </c>
      <c r="C78" s="80" t="s">
        <v>112</v>
      </c>
      <c r="D78" s="231">
        <v>551</v>
      </c>
      <c r="E78" s="252">
        <v>558</v>
      </c>
      <c r="F78" s="232">
        <f t="shared" si="9"/>
        <v>601.6</v>
      </c>
      <c r="G78" s="231">
        <v>151</v>
      </c>
      <c r="H78" s="232">
        <v>151</v>
      </c>
      <c r="I78" s="232">
        <v>148.80000000000001</v>
      </c>
      <c r="J78" s="232">
        <v>150.80000000000001</v>
      </c>
      <c r="K78" s="209"/>
    </row>
    <row r="79" spans="1:11" s="60" customFormat="1" ht="18.75" x14ac:dyDescent="0.2">
      <c r="A79" s="78" t="s">
        <v>113</v>
      </c>
      <c r="B79" s="62">
        <v>45</v>
      </c>
      <c r="C79" s="80" t="s">
        <v>114</v>
      </c>
      <c r="D79" s="231">
        <v>0</v>
      </c>
      <c r="E79" s="252">
        <v>0</v>
      </c>
      <c r="F79" s="232">
        <f t="shared" si="9"/>
        <v>0</v>
      </c>
      <c r="G79" s="231">
        <v>0</v>
      </c>
      <c r="H79" s="231">
        <v>0</v>
      </c>
      <c r="I79" s="231">
        <v>0</v>
      </c>
      <c r="J79" s="231">
        <v>0</v>
      </c>
      <c r="K79" s="209"/>
    </row>
    <row r="80" spans="1:11" s="60" customFormat="1" ht="18.75" x14ac:dyDescent="0.2">
      <c r="A80" s="78" t="s">
        <v>115</v>
      </c>
      <c r="B80" s="62">
        <v>46</v>
      </c>
      <c r="C80" s="80" t="s">
        <v>116</v>
      </c>
      <c r="D80" s="231">
        <v>26</v>
      </c>
      <c r="E80" s="252">
        <v>0</v>
      </c>
      <c r="F80" s="232">
        <f t="shared" si="9"/>
        <v>30</v>
      </c>
      <c r="G80" s="231">
        <v>6.5</v>
      </c>
      <c r="H80" s="232">
        <v>10.5</v>
      </c>
      <c r="I80" s="232">
        <v>6.5</v>
      </c>
      <c r="J80" s="232">
        <v>6.5</v>
      </c>
      <c r="K80" s="209"/>
    </row>
    <row r="81" spans="1:11" s="60" customFormat="1" ht="18.75" x14ac:dyDescent="0.2">
      <c r="A81" s="78" t="s">
        <v>117</v>
      </c>
      <c r="B81" s="62">
        <v>47</v>
      </c>
      <c r="C81" s="80" t="s">
        <v>118</v>
      </c>
      <c r="D81" s="231">
        <v>49.2</v>
      </c>
      <c r="E81" s="252">
        <v>124.8</v>
      </c>
      <c r="F81" s="232">
        <f t="shared" si="9"/>
        <v>166</v>
      </c>
      <c r="G81" s="231">
        <v>42.8</v>
      </c>
      <c r="H81" s="232">
        <v>40.299999999999997</v>
      </c>
      <c r="I81" s="232">
        <v>42.7</v>
      </c>
      <c r="J81" s="232">
        <v>40.200000000000003</v>
      </c>
      <c r="K81" s="209"/>
    </row>
    <row r="82" spans="1:11" s="60" customFormat="1" ht="18.75" x14ac:dyDescent="0.2">
      <c r="A82" s="78" t="s">
        <v>119</v>
      </c>
      <c r="B82" s="62">
        <v>48</v>
      </c>
      <c r="C82" s="80"/>
      <c r="D82" s="231">
        <v>143.6</v>
      </c>
      <c r="E82" s="252">
        <v>223.3</v>
      </c>
      <c r="F82" s="232">
        <f t="shared" si="9"/>
        <v>273.90000000000003</v>
      </c>
      <c r="G82" s="231">
        <v>68.7</v>
      </c>
      <c r="H82" s="231">
        <v>68.400000000000006</v>
      </c>
      <c r="I82" s="231">
        <v>68.400000000000006</v>
      </c>
      <c r="J82" s="231">
        <v>68.400000000000006</v>
      </c>
      <c r="K82" s="209"/>
    </row>
    <row r="83" spans="1:11" s="60" customFormat="1" ht="18.75" x14ac:dyDescent="0.2">
      <c r="A83" s="78" t="s">
        <v>120</v>
      </c>
      <c r="B83" s="62">
        <v>49</v>
      </c>
      <c r="C83" s="80" t="s">
        <v>121</v>
      </c>
      <c r="D83" s="231">
        <v>0</v>
      </c>
      <c r="E83" s="252">
        <v>8</v>
      </c>
      <c r="F83" s="232">
        <f t="shared" si="9"/>
        <v>30</v>
      </c>
      <c r="G83" s="231">
        <v>7.5</v>
      </c>
      <c r="H83" s="232">
        <v>7.5</v>
      </c>
      <c r="I83" s="232">
        <v>7.5</v>
      </c>
      <c r="J83" s="232">
        <v>7.5</v>
      </c>
      <c r="K83" s="209"/>
    </row>
    <row r="84" spans="1:11" s="60" customFormat="1" ht="18.75" x14ac:dyDescent="0.2">
      <c r="A84" s="78" t="s">
        <v>122</v>
      </c>
      <c r="B84" s="62">
        <v>50</v>
      </c>
      <c r="C84" s="80" t="s">
        <v>123</v>
      </c>
      <c r="D84" s="231">
        <v>0</v>
      </c>
      <c r="E84" s="252">
        <v>0</v>
      </c>
      <c r="F84" s="232">
        <f t="shared" si="9"/>
        <v>0</v>
      </c>
      <c r="G84" s="231">
        <v>0</v>
      </c>
      <c r="H84" s="232">
        <v>0</v>
      </c>
      <c r="I84" s="232">
        <v>0</v>
      </c>
      <c r="J84" s="232">
        <v>0</v>
      </c>
      <c r="K84" s="209"/>
    </row>
    <row r="85" spans="1:11" s="60" customFormat="1" ht="18.75" x14ac:dyDescent="0.2">
      <c r="A85" s="78" t="s">
        <v>124</v>
      </c>
      <c r="B85" s="62">
        <v>51</v>
      </c>
      <c r="C85" s="80" t="s">
        <v>125</v>
      </c>
      <c r="D85" s="231">
        <v>0</v>
      </c>
      <c r="E85" s="252">
        <v>0</v>
      </c>
      <c r="F85" s="232">
        <f t="shared" si="9"/>
        <v>0</v>
      </c>
      <c r="G85" s="231">
        <v>0</v>
      </c>
      <c r="H85" s="231">
        <v>0</v>
      </c>
      <c r="I85" s="231">
        <v>0</v>
      </c>
      <c r="J85" s="231">
        <v>0</v>
      </c>
      <c r="K85" s="209"/>
    </row>
    <row r="86" spans="1:11" s="60" customFormat="1" ht="18.75" x14ac:dyDescent="0.2">
      <c r="A86" s="78" t="s">
        <v>126</v>
      </c>
      <c r="B86" s="62">
        <v>52</v>
      </c>
      <c r="C86" s="80" t="s">
        <v>127</v>
      </c>
      <c r="D86" s="231">
        <v>0</v>
      </c>
      <c r="E86" s="252">
        <v>59.8</v>
      </c>
      <c r="F86" s="232">
        <f t="shared" si="9"/>
        <v>135.79999999999998</v>
      </c>
      <c r="G86" s="231">
        <v>18.8</v>
      </c>
      <c r="H86" s="232">
        <v>49.3</v>
      </c>
      <c r="I86" s="232">
        <v>18.600000000000001</v>
      </c>
      <c r="J86" s="232">
        <v>49.1</v>
      </c>
      <c r="K86" s="209"/>
    </row>
    <row r="87" spans="1:11" s="60" customFormat="1" ht="18.75" x14ac:dyDescent="0.2">
      <c r="A87" s="78" t="s">
        <v>128</v>
      </c>
      <c r="B87" s="62">
        <v>53</v>
      </c>
      <c r="C87" s="79"/>
      <c r="D87" s="231">
        <v>21.2</v>
      </c>
      <c r="E87" s="252">
        <v>60</v>
      </c>
      <c r="F87" s="232">
        <f t="shared" si="9"/>
        <v>92.199999999999989</v>
      </c>
      <c r="G87" s="231">
        <v>23</v>
      </c>
      <c r="H87" s="232">
        <v>23.1</v>
      </c>
      <c r="I87" s="232">
        <v>23</v>
      </c>
      <c r="J87" s="232">
        <v>23.1</v>
      </c>
      <c r="K87" s="209"/>
    </row>
    <row r="88" spans="1:11" s="60" customFormat="1" ht="18.75" x14ac:dyDescent="0.2">
      <c r="A88" s="78" t="s">
        <v>129</v>
      </c>
      <c r="B88" s="62">
        <v>54</v>
      </c>
      <c r="C88" s="79"/>
      <c r="D88" s="231">
        <f>2.7+17.5+12</f>
        <v>32.200000000000003</v>
      </c>
      <c r="E88" s="252">
        <v>98.5</v>
      </c>
      <c r="F88" s="232">
        <f t="shared" si="9"/>
        <v>129.1</v>
      </c>
      <c r="G88" s="231">
        <v>31.8</v>
      </c>
      <c r="H88" s="232">
        <v>37.799999999999997</v>
      </c>
      <c r="I88" s="232">
        <v>29.7</v>
      </c>
      <c r="J88" s="232">
        <v>29.8</v>
      </c>
      <c r="K88" s="209"/>
    </row>
    <row r="89" spans="1:11" s="60" customFormat="1" ht="18.75" x14ac:dyDescent="0.2">
      <c r="A89" s="61" t="s">
        <v>82</v>
      </c>
      <c r="B89" s="62">
        <v>55</v>
      </c>
      <c r="C89" s="58" t="s">
        <v>130</v>
      </c>
      <c r="D89" s="224">
        <v>0</v>
      </c>
      <c r="E89" s="77">
        <v>56</v>
      </c>
      <c r="F89" s="225">
        <f>G89+H89+I89+J89</f>
        <v>0</v>
      </c>
      <c r="G89" s="224">
        <v>0</v>
      </c>
      <c r="H89" s="225">
        <v>0</v>
      </c>
      <c r="I89" s="225">
        <v>0</v>
      </c>
      <c r="J89" s="225">
        <v>0</v>
      </c>
      <c r="K89" s="209"/>
    </row>
    <row r="90" spans="1:11" s="60" customFormat="1" ht="18.75" x14ac:dyDescent="0.2">
      <c r="A90" s="61" t="s">
        <v>84</v>
      </c>
      <c r="B90" s="62">
        <v>56</v>
      </c>
      <c r="C90" s="63" t="s">
        <v>131</v>
      </c>
      <c r="D90" s="224">
        <v>0</v>
      </c>
      <c r="E90" s="77">
        <v>0</v>
      </c>
      <c r="F90" s="225">
        <f>G90+H90+I90+J90</f>
        <v>0</v>
      </c>
      <c r="G90" s="224">
        <v>0</v>
      </c>
      <c r="H90" s="225">
        <v>0</v>
      </c>
      <c r="I90" s="225">
        <v>0</v>
      </c>
      <c r="J90" s="225">
        <v>0</v>
      </c>
      <c r="K90" s="209"/>
    </row>
    <row r="91" spans="1:11" s="60" customFormat="1" ht="18.75" x14ac:dyDescent="0.2">
      <c r="A91" s="61" t="s">
        <v>86</v>
      </c>
      <c r="B91" s="62">
        <v>57</v>
      </c>
      <c r="C91" s="63" t="s">
        <v>132</v>
      </c>
      <c r="D91" s="224">
        <v>0</v>
      </c>
      <c r="E91" s="77">
        <v>0</v>
      </c>
      <c r="F91" s="225">
        <f>G91+H91+I91+J91</f>
        <v>0</v>
      </c>
      <c r="G91" s="224">
        <v>0</v>
      </c>
      <c r="H91" s="225">
        <v>0</v>
      </c>
      <c r="I91" s="225">
        <v>0</v>
      </c>
      <c r="J91" s="225">
        <v>0</v>
      </c>
      <c r="K91" s="209"/>
    </row>
    <row r="92" spans="1:11" s="60" customFormat="1" ht="18.75" x14ac:dyDescent="0.2">
      <c r="A92" s="61" t="s">
        <v>88</v>
      </c>
      <c r="B92" s="62">
        <v>58</v>
      </c>
      <c r="C92" s="63" t="s">
        <v>133</v>
      </c>
      <c r="D92" s="224">
        <v>0</v>
      </c>
      <c r="E92" s="77">
        <v>12.6</v>
      </c>
      <c r="F92" s="225">
        <f>G92+H92+I92+J92</f>
        <v>20.2</v>
      </c>
      <c r="G92" s="224">
        <v>5.2</v>
      </c>
      <c r="H92" s="225">
        <v>5</v>
      </c>
      <c r="I92" s="225">
        <v>5</v>
      </c>
      <c r="J92" s="225">
        <v>5</v>
      </c>
      <c r="K92" s="314" t="s">
        <v>312</v>
      </c>
    </row>
    <row r="93" spans="1:11" s="60" customFormat="1" ht="19.5" thickBot="1" x14ac:dyDescent="0.25">
      <c r="A93" s="61" t="s">
        <v>134</v>
      </c>
      <c r="B93" s="71">
        <v>59</v>
      </c>
      <c r="C93" s="63">
        <v>1100</v>
      </c>
      <c r="D93" s="224">
        <v>0</v>
      </c>
      <c r="E93" s="77">
        <v>100</v>
      </c>
      <c r="F93" s="225">
        <f>G93+H93+I93+J93</f>
        <v>0</v>
      </c>
      <c r="G93" s="224">
        <v>0</v>
      </c>
      <c r="H93" s="225">
        <v>0</v>
      </c>
      <c r="I93" s="225">
        <v>0</v>
      </c>
      <c r="J93" s="225">
        <v>0</v>
      </c>
      <c r="K93" s="273"/>
    </row>
    <row r="94" spans="1:11" s="60" customFormat="1" ht="19.5" thickBot="1" x14ac:dyDescent="0.25">
      <c r="A94" s="74" t="s">
        <v>135</v>
      </c>
      <c r="B94" s="73">
        <v>60</v>
      </c>
      <c r="C94" s="75">
        <v>1110</v>
      </c>
      <c r="D94" s="76">
        <f t="shared" ref="D94:J94" si="10">SUM(D95:D104)</f>
        <v>6716.0999999999995</v>
      </c>
      <c r="E94" s="76">
        <f t="shared" si="10"/>
        <v>4385.5</v>
      </c>
      <c r="F94" s="76">
        <f t="shared" si="10"/>
        <v>656.7</v>
      </c>
      <c r="G94" s="76">
        <f t="shared" si="10"/>
        <v>310.50000000000006</v>
      </c>
      <c r="H94" s="76">
        <f t="shared" si="10"/>
        <v>121.89999999999999</v>
      </c>
      <c r="I94" s="76">
        <f t="shared" si="10"/>
        <v>119.89999999999999</v>
      </c>
      <c r="J94" s="76">
        <f t="shared" si="10"/>
        <v>104.39999999999999</v>
      </c>
      <c r="K94" s="214"/>
    </row>
    <row r="95" spans="1:11" s="60" customFormat="1" ht="18.75" x14ac:dyDescent="0.2">
      <c r="A95" s="56" t="s">
        <v>70</v>
      </c>
      <c r="B95" s="57">
        <f t="shared" ref="B95:B126" si="11">B94+1</f>
        <v>61</v>
      </c>
      <c r="C95" s="58" t="s">
        <v>136</v>
      </c>
      <c r="D95" s="222"/>
      <c r="E95" s="253">
        <v>0</v>
      </c>
      <c r="F95" s="225">
        <f t="shared" ref="F95:F104" si="12">G95+H95+I95+J95</f>
        <v>0</v>
      </c>
      <c r="G95" s="222">
        <v>0</v>
      </c>
      <c r="H95" s="223">
        <v>0</v>
      </c>
      <c r="I95" s="223">
        <v>0</v>
      </c>
      <c r="J95" s="223">
        <v>0</v>
      </c>
      <c r="K95" s="207"/>
    </row>
    <row r="96" spans="1:11" s="60" customFormat="1" ht="18.75" x14ac:dyDescent="0.2">
      <c r="A96" s="61" t="s">
        <v>72</v>
      </c>
      <c r="B96" s="62">
        <f t="shared" si="11"/>
        <v>62</v>
      </c>
      <c r="C96" s="63" t="s">
        <v>137</v>
      </c>
      <c r="D96" s="224"/>
      <c r="E96" s="77">
        <v>0</v>
      </c>
      <c r="F96" s="225">
        <f t="shared" si="12"/>
        <v>0</v>
      </c>
      <c r="G96" s="224">
        <v>0</v>
      </c>
      <c r="H96" s="225">
        <v>0</v>
      </c>
      <c r="I96" s="225">
        <v>0</v>
      </c>
      <c r="J96" s="225">
        <v>0</v>
      </c>
      <c r="K96" s="209"/>
    </row>
    <row r="97" spans="1:11" s="60" customFormat="1" ht="18.75" x14ac:dyDescent="0.2">
      <c r="A97" s="61" t="s">
        <v>74</v>
      </c>
      <c r="B97" s="62">
        <f t="shared" si="11"/>
        <v>63</v>
      </c>
      <c r="C97" s="63" t="s">
        <v>138</v>
      </c>
      <c r="D97" s="224">
        <v>496.3</v>
      </c>
      <c r="E97" s="77">
        <v>755.4</v>
      </c>
      <c r="F97" s="225">
        <f t="shared" si="12"/>
        <v>111</v>
      </c>
      <c r="G97" s="224">
        <f>15.6+9</f>
        <v>24.6</v>
      </c>
      <c r="H97" s="225">
        <f>23.4+8</f>
        <v>31.4</v>
      </c>
      <c r="I97" s="225">
        <f>23.4+8</f>
        <v>31.4</v>
      </c>
      <c r="J97" s="225">
        <f>15.6+8</f>
        <v>23.6</v>
      </c>
      <c r="K97" s="273"/>
    </row>
    <row r="98" spans="1:11" s="60" customFormat="1" ht="18.75" x14ac:dyDescent="0.2">
      <c r="A98" s="61" t="s">
        <v>76</v>
      </c>
      <c r="B98" s="62">
        <f t="shared" si="11"/>
        <v>64</v>
      </c>
      <c r="C98" s="63" t="s">
        <v>139</v>
      </c>
      <c r="D98" s="224">
        <v>5132.8999999999996</v>
      </c>
      <c r="E98" s="77">
        <v>2482.3000000000002</v>
      </c>
      <c r="F98" s="225">
        <f t="shared" si="12"/>
        <v>357.3</v>
      </c>
      <c r="G98" s="224">
        <f>58+180</f>
        <v>238</v>
      </c>
      <c r="H98" s="225">
        <v>40.6</v>
      </c>
      <c r="I98" s="225">
        <v>39.299999999999997</v>
      </c>
      <c r="J98" s="225">
        <v>39.4</v>
      </c>
      <c r="K98" s="273"/>
    </row>
    <row r="99" spans="1:11" s="60" customFormat="1" ht="18.75" x14ac:dyDescent="0.2">
      <c r="A99" s="61" t="s">
        <v>78</v>
      </c>
      <c r="B99" s="62">
        <f t="shared" si="11"/>
        <v>65</v>
      </c>
      <c r="C99" s="63" t="s">
        <v>140</v>
      </c>
      <c r="D99" s="224">
        <v>300.89999999999998</v>
      </c>
      <c r="E99" s="77">
        <v>482.1</v>
      </c>
      <c r="F99" s="225">
        <f t="shared" si="12"/>
        <v>0</v>
      </c>
      <c r="G99" s="224">
        <v>0</v>
      </c>
      <c r="H99" s="225">
        <v>0</v>
      </c>
      <c r="I99" s="225">
        <v>0</v>
      </c>
      <c r="J99" s="225">
        <v>0</v>
      </c>
      <c r="K99" s="273"/>
    </row>
    <row r="100" spans="1:11" s="60" customFormat="1" ht="18.75" x14ac:dyDescent="0.2">
      <c r="A100" s="61" t="s">
        <v>80</v>
      </c>
      <c r="B100" s="62">
        <f t="shared" si="11"/>
        <v>66</v>
      </c>
      <c r="C100" s="63" t="s">
        <v>141</v>
      </c>
      <c r="D100" s="224">
        <v>747.4</v>
      </c>
      <c r="E100" s="77">
        <v>605.29999999999995</v>
      </c>
      <c r="F100" s="225">
        <f t="shared" si="12"/>
        <v>78.699999999999989</v>
      </c>
      <c r="G100" s="224">
        <v>15.6</v>
      </c>
      <c r="H100" s="225">
        <f>23.4+0.7</f>
        <v>24.099999999999998</v>
      </c>
      <c r="I100" s="225">
        <v>23.4</v>
      </c>
      <c r="J100" s="225">
        <v>15.6</v>
      </c>
      <c r="K100" s="273"/>
    </row>
    <row r="101" spans="1:11" s="60" customFormat="1" ht="18.75" x14ac:dyDescent="0.2">
      <c r="A101" s="61" t="s">
        <v>82</v>
      </c>
      <c r="B101" s="62">
        <f t="shared" si="11"/>
        <v>67</v>
      </c>
      <c r="C101" s="63" t="s">
        <v>142</v>
      </c>
      <c r="D101" s="224">
        <v>6</v>
      </c>
      <c r="E101" s="77">
        <v>5</v>
      </c>
      <c r="F101" s="225">
        <f t="shared" si="12"/>
        <v>0</v>
      </c>
      <c r="G101" s="224">
        <v>0</v>
      </c>
      <c r="H101" s="225">
        <v>0</v>
      </c>
      <c r="I101" s="225">
        <v>0</v>
      </c>
      <c r="J101" s="225">
        <v>0</v>
      </c>
      <c r="K101" s="209"/>
    </row>
    <row r="102" spans="1:11" s="60" customFormat="1" ht="18.75" x14ac:dyDescent="0.2">
      <c r="A102" s="61" t="s">
        <v>84</v>
      </c>
      <c r="B102" s="62">
        <f t="shared" si="11"/>
        <v>68</v>
      </c>
      <c r="C102" s="63" t="s">
        <v>143</v>
      </c>
      <c r="D102" s="224">
        <v>0</v>
      </c>
      <c r="E102" s="77">
        <v>0</v>
      </c>
      <c r="F102" s="225">
        <f t="shared" si="12"/>
        <v>0</v>
      </c>
      <c r="G102" s="224">
        <v>0</v>
      </c>
      <c r="H102" s="225">
        <v>0</v>
      </c>
      <c r="I102" s="225">
        <v>0</v>
      </c>
      <c r="J102" s="225">
        <v>0</v>
      </c>
      <c r="K102" s="209"/>
    </row>
    <row r="103" spans="1:11" s="60" customFormat="1" ht="18.75" x14ac:dyDescent="0.2">
      <c r="A103" s="61" t="s">
        <v>86</v>
      </c>
      <c r="B103" s="62">
        <f t="shared" si="11"/>
        <v>69</v>
      </c>
      <c r="C103" s="63" t="s">
        <v>144</v>
      </c>
      <c r="D103" s="224">
        <v>0</v>
      </c>
      <c r="E103" s="77">
        <v>0</v>
      </c>
      <c r="F103" s="225">
        <f t="shared" si="12"/>
        <v>72.5</v>
      </c>
      <c r="G103" s="224">
        <v>18.5</v>
      </c>
      <c r="H103" s="225">
        <v>18</v>
      </c>
      <c r="I103" s="225">
        <v>18</v>
      </c>
      <c r="J103" s="225">
        <v>18</v>
      </c>
      <c r="K103" s="209"/>
    </row>
    <row r="104" spans="1:11" s="60" customFormat="1" ht="19.5" thickBot="1" x14ac:dyDescent="0.25">
      <c r="A104" s="61" t="s">
        <v>88</v>
      </c>
      <c r="B104" s="71">
        <f t="shared" si="11"/>
        <v>70</v>
      </c>
      <c r="C104" s="63" t="s">
        <v>145</v>
      </c>
      <c r="D104" s="224">
        <f>19.9+12.7</f>
        <v>32.599999999999994</v>
      </c>
      <c r="E104" s="77">
        <v>55.4</v>
      </c>
      <c r="F104" s="225">
        <f t="shared" si="12"/>
        <v>37.200000000000003</v>
      </c>
      <c r="G104" s="224">
        <v>13.8</v>
      </c>
      <c r="H104" s="225">
        <v>7.8</v>
      </c>
      <c r="I104" s="225">
        <v>7.8</v>
      </c>
      <c r="J104" s="225">
        <v>7.8</v>
      </c>
      <c r="K104" s="273"/>
    </row>
    <row r="105" spans="1:11" s="60" customFormat="1" ht="19.5" thickBot="1" x14ac:dyDescent="0.25">
      <c r="A105" s="74" t="s">
        <v>146</v>
      </c>
      <c r="B105" s="73">
        <f t="shared" si="11"/>
        <v>71</v>
      </c>
      <c r="C105" s="75">
        <v>1120</v>
      </c>
      <c r="D105" s="237">
        <f t="shared" ref="D105:J105" si="13">D106+D117+D123</f>
        <v>12857.3</v>
      </c>
      <c r="E105" s="237">
        <f t="shared" si="13"/>
        <v>13826.2</v>
      </c>
      <c r="F105" s="237">
        <f t="shared" si="13"/>
        <v>15924.6</v>
      </c>
      <c r="G105" s="237">
        <f t="shared" si="13"/>
        <v>4596.9000000000005</v>
      </c>
      <c r="H105" s="237">
        <f t="shared" si="13"/>
        <v>3250.4</v>
      </c>
      <c r="I105" s="237">
        <f t="shared" si="13"/>
        <v>3349</v>
      </c>
      <c r="J105" s="237">
        <f t="shared" si="13"/>
        <v>4728.3</v>
      </c>
      <c r="K105" s="215"/>
    </row>
    <row r="106" spans="1:11" s="60" customFormat="1" ht="19.5" thickBot="1" x14ac:dyDescent="0.25">
      <c r="A106" s="74" t="s">
        <v>147</v>
      </c>
      <c r="B106" s="73">
        <f t="shared" si="11"/>
        <v>72</v>
      </c>
      <c r="C106" s="75">
        <v>1130</v>
      </c>
      <c r="D106" s="238">
        <f t="shared" ref="D106:J106" si="14">SUM(D107:D116)</f>
        <v>7090.9</v>
      </c>
      <c r="E106" s="238">
        <f t="shared" si="14"/>
        <v>6909.7</v>
      </c>
      <c r="F106" s="238">
        <f t="shared" si="14"/>
        <v>8065</v>
      </c>
      <c r="G106" s="238">
        <f t="shared" si="14"/>
        <v>2158.9</v>
      </c>
      <c r="H106" s="238">
        <f t="shared" si="14"/>
        <v>2017.3000000000002</v>
      </c>
      <c r="I106" s="238">
        <f t="shared" si="14"/>
        <v>1882.3000000000002</v>
      </c>
      <c r="J106" s="238">
        <f t="shared" si="14"/>
        <v>2006.5</v>
      </c>
      <c r="K106" s="215"/>
    </row>
    <row r="107" spans="1:11" s="60" customFormat="1" ht="18.75" x14ac:dyDescent="0.2">
      <c r="A107" s="246" t="s">
        <v>70</v>
      </c>
      <c r="B107" s="57">
        <f t="shared" si="11"/>
        <v>73</v>
      </c>
      <c r="C107" s="58" t="s">
        <v>148</v>
      </c>
      <c r="D107" s="222">
        <v>901.5</v>
      </c>
      <c r="E107" s="223">
        <v>755.7</v>
      </c>
      <c r="F107" s="225">
        <f t="shared" ref="F107:F116" si="15">G107+H107+I107+J107</f>
        <v>755.7</v>
      </c>
      <c r="G107" s="222">
        <v>243.5</v>
      </c>
      <c r="H107" s="222">
        <v>134.6</v>
      </c>
      <c r="I107" s="222">
        <v>134.80000000000001</v>
      </c>
      <c r="J107" s="222">
        <v>242.8</v>
      </c>
      <c r="K107" s="207"/>
    </row>
    <row r="108" spans="1:11" s="60" customFormat="1" ht="18.75" x14ac:dyDescent="0.2">
      <c r="A108" s="247" t="s">
        <v>72</v>
      </c>
      <c r="B108" s="62">
        <f t="shared" si="11"/>
        <v>74</v>
      </c>
      <c r="C108" s="63" t="s">
        <v>149</v>
      </c>
      <c r="D108" s="224">
        <v>173.9</v>
      </c>
      <c r="E108" s="225">
        <v>166.3</v>
      </c>
      <c r="F108" s="225">
        <f t="shared" si="15"/>
        <v>166.3</v>
      </c>
      <c r="G108" s="224">
        <v>53.6</v>
      </c>
      <c r="H108" s="224">
        <v>29.6</v>
      </c>
      <c r="I108" s="224">
        <v>29.6</v>
      </c>
      <c r="J108" s="224">
        <v>53.5</v>
      </c>
      <c r="K108" s="209"/>
    </row>
    <row r="109" spans="1:11" s="60" customFormat="1" ht="18.75" x14ac:dyDescent="0.2">
      <c r="A109" s="247" t="s">
        <v>74</v>
      </c>
      <c r="B109" s="62">
        <f t="shared" si="11"/>
        <v>75</v>
      </c>
      <c r="C109" s="63" t="s">
        <v>150</v>
      </c>
      <c r="D109" s="224">
        <v>33.6</v>
      </c>
      <c r="E109" s="225">
        <v>50</v>
      </c>
      <c r="F109" s="225">
        <f t="shared" si="15"/>
        <v>75</v>
      </c>
      <c r="G109" s="224">
        <v>50</v>
      </c>
      <c r="H109" s="224">
        <v>25</v>
      </c>
      <c r="I109" s="224">
        <v>0</v>
      </c>
      <c r="J109" s="224">
        <v>0</v>
      </c>
      <c r="K109" s="273"/>
    </row>
    <row r="110" spans="1:11" s="60" customFormat="1" ht="18.75" x14ac:dyDescent="0.2">
      <c r="A110" s="247" t="s">
        <v>76</v>
      </c>
      <c r="B110" s="62">
        <f t="shared" si="11"/>
        <v>76</v>
      </c>
      <c r="C110" s="63" t="s">
        <v>151</v>
      </c>
      <c r="D110" s="224">
        <v>3934.5</v>
      </c>
      <c r="E110" s="225">
        <v>4179.1000000000004</v>
      </c>
      <c r="F110" s="225">
        <f t="shared" si="15"/>
        <v>4480</v>
      </c>
      <c r="G110" s="224">
        <v>1156.0999999999999</v>
      </c>
      <c r="H110" s="225">
        <v>1139.9000000000001</v>
      </c>
      <c r="I110" s="225">
        <v>1113.5999999999999</v>
      </c>
      <c r="J110" s="225">
        <v>1070.4000000000001</v>
      </c>
      <c r="K110" s="273"/>
    </row>
    <row r="111" spans="1:11" s="60" customFormat="1" ht="18.75" x14ac:dyDescent="0.2">
      <c r="A111" s="247" t="s">
        <v>78</v>
      </c>
      <c r="B111" s="62">
        <f t="shared" si="11"/>
        <v>77</v>
      </c>
      <c r="C111" s="63" t="s">
        <v>152</v>
      </c>
      <c r="D111" s="224">
        <v>64.8</v>
      </c>
      <c r="E111" s="225">
        <v>102.2</v>
      </c>
      <c r="F111" s="225">
        <f t="shared" si="15"/>
        <v>145</v>
      </c>
      <c r="G111" s="224">
        <v>50.5</v>
      </c>
      <c r="H111" s="224">
        <v>40.5</v>
      </c>
      <c r="I111" s="224">
        <v>37</v>
      </c>
      <c r="J111" s="224">
        <v>17</v>
      </c>
      <c r="K111" s="273"/>
    </row>
    <row r="112" spans="1:11" s="60" customFormat="1" ht="18.75" x14ac:dyDescent="0.2">
      <c r="A112" s="247" t="s">
        <v>80</v>
      </c>
      <c r="B112" s="62">
        <f t="shared" si="11"/>
        <v>78</v>
      </c>
      <c r="C112" s="63" t="s">
        <v>153</v>
      </c>
      <c r="D112" s="224">
        <v>336</v>
      </c>
      <c r="E112" s="225">
        <v>604.70000000000005</v>
      </c>
      <c r="F112" s="225">
        <f t="shared" si="15"/>
        <v>615</v>
      </c>
      <c r="G112" s="224">
        <v>146.4</v>
      </c>
      <c r="H112" s="225">
        <v>191.3</v>
      </c>
      <c r="I112" s="225">
        <v>110.9</v>
      </c>
      <c r="J112" s="225">
        <v>166.4</v>
      </c>
      <c r="K112" s="273"/>
    </row>
    <row r="113" spans="1:11" s="60" customFormat="1" ht="18.75" x14ac:dyDescent="0.2">
      <c r="A113" s="247" t="s">
        <v>82</v>
      </c>
      <c r="B113" s="62">
        <f t="shared" si="11"/>
        <v>79</v>
      </c>
      <c r="C113" s="63" t="s">
        <v>154</v>
      </c>
      <c r="D113" s="224">
        <v>0</v>
      </c>
      <c r="E113" s="225">
        <v>20</v>
      </c>
      <c r="F113" s="225">
        <f t="shared" si="15"/>
        <v>20</v>
      </c>
      <c r="G113" s="224">
        <v>5</v>
      </c>
      <c r="H113" s="224">
        <v>5</v>
      </c>
      <c r="I113" s="224">
        <v>5</v>
      </c>
      <c r="J113" s="224">
        <v>5</v>
      </c>
      <c r="K113" s="273"/>
    </row>
    <row r="114" spans="1:11" s="60" customFormat="1" ht="18.75" x14ac:dyDescent="0.2">
      <c r="A114" s="247" t="s">
        <v>84</v>
      </c>
      <c r="B114" s="62">
        <f t="shared" si="11"/>
        <v>80</v>
      </c>
      <c r="C114" s="63" t="s">
        <v>155</v>
      </c>
      <c r="D114" s="224">
        <v>0</v>
      </c>
      <c r="E114" s="77">
        <v>8</v>
      </c>
      <c r="F114" s="225">
        <f t="shared" si="15"/>
        <v>8</v>
      </c>
      <c r="G114" s="224">
        <v>2</v>
      </c>
      <c r="H114" s="224">
        <v>2</v>
      </c>
      <c r="I114" s="224">
        <v>2</v>
      </c>
      <c r="J114" s="224">
        <v>2</v>
      </c>
      <c r="K114" s="209"/>
    </row>
    <row r="115" spans="1:11" s="60" customFormat="1" ht="18.75" x14ac:dyDescent="0.2">
      <c r="A115" s="247" t="s">
        <v>86</v>
      </c>
      <c r="B115" s="62">
        <f t="shared" si="11"/>
        <v>81</v>
      </c>
      <c r="C115" s="63" t="s">
        <v>156</v>
      </c>
      <c r="D115" s="224">
        <v>1646.6</v>
      </c>
      <c r="E115" s="77">
        <v>1013.7</v>
      </c>
      <c r="F115" s="225">
        <f t="shared" si="15"/>
        <v>1800</v>
      </c>
      <c r="G115" s="224">
        <v>451.8</v>
      </c>
      <c r="H115" s="225">
        <v>449.4</v>
      </c>
      <c r="I115" s="225">
        <v>449.4</v>
      </c>
      <c r="J115" s="225">
        <v>449.4</v>
      </c>
      <c r="K115" s="209"/>
    </row>
    <row r="116" spans="1:11" s="60" customFormat="1" ht="19.5" thickBot="1" x14ac:dyDescent="0.25">
      <c r="A116" s="248" t="s">
        <v>88</v>
      </c>
      <c r="B116" s="82">
        <f t="shared" si="11"/>
        <v>82</v>
      </c>
      <c r="C116" s="83" t="s">
        <v>157</v>
      </c>
      <c r="D116" s="226">
        <v>0</v>
      </c>
      <c r="E116" s="226">
        <v>10</v>
      </c>
      <c r="F116" s="225">
        <f t="shared" si="15"/>
        <v>0</v>
      </c>
      <c r="G116" s="227">
        <v>0</v>
      </c>
      <c r="H116" s="226">
        <v>0</v>
      </c>
      <c r="I116" s="227">
        <v>0</v>
      </c>
      <c r="J116" s="227">
        <v>0</v>
      </c>
      <c r="K116" s="211"/>
    </row>
    <row r="117" spans="1:11" s="60" customFormat="1" ht="19.5" thickBot="1" x14ac:dyDescent="0.25">
      <c r="A117" s="74" t="s">
        <v>272</v>
      </c>
      <c r="B117" s="73">
        <f t="shared" si="11"/>
        <v>83</v>
      </c>
      <c r="C117" s="75">
        <v>1140</v>
      </c>
      <c r="D117" s="76">
        <f t="shared" ref="D117:J117" si="16">SUM(D118:D122)</f>
        <v>2758.2999999999997</v>
      </c>
      <c r="E117" s="76">
        <f t="shared" si="16"/>
        <v>5285.3</v>
      </c>
      <c r="F117" s="76">
        <f t="shared" si="16"/>
        <v>4740</v>
      </c>
      <c r="G117" s="76">
        <f t="shared" si="16"/>
        <v>1976.7</v>
      </c>
      <c r="H117" s="76">
        <f t="shared" si="16"/>
        <v>764.4</v>
      </c>
      <c r="I117" s="76">
        <f t="shared" si="16"/>
        <v>371.9</v>
      </c>
      <c r="J117" s="76">
        <f t="shared" si="16"/>
        <v>1627</v>
      </c>
      <c r="K117" s="215"/>
    </row>
    <row r="118" spans="1:11" s="60" customFormat="1" ht="18.75" x14ac:dyDescent="0.2">
      <c r="A118" s="84" t="s">
        <v>273</v>
      </c>
      <c r="B118" s="85">
        <f t="shared" si="11"/>
        <v>84</v>
      </c>
      <c r="C118" s="79" t="s">
        <v>158</v>
      </c>
      <c r="D118" s="231">
        <v>1739.9</v>
      </c>
      <c r="E118" s="231">
        <v>3650</v>
      </c>
      <c r="F118" s="244">
        <f>G118+H118+I118+J118</f>
        <v>2950</v>
      </c>
      <c r="G118" s="232">
        <v>1557.9</v>
      </c>
      <c r="H118" s="231">
        <v>196.1</v>
      </c>
      <c r="I118" s="232">
        <v>0</v>
      </c>
      <c r="J118" s="232">
        <v>1196</v>
      </c>
      <c r="K118" s="282"/>
    </row>
    <row r="119" spans="1:11" s="60" customFormat="1" ht="18.75" x14ac:dyDescent="0.2">
      <c r="A119" s="78" t="s">
        <v>274</v>
      </c>
      <c r="B119" s="62">
        <f t="shared" si="11"/>
        <v>85</v>
      </c>
      <c r="C119" s="80" t="s">
        <v>159</v>
      </c>
      <c r="D119" s="231">
        <v>71.5</v>
      </c>
      <c r="E119" s="231">
        <v>137.30000000000001</v>
      </c>
      <c r="F119" s="232">
        <f>G119+H119+I119+J119</f>
        <v>140</v>
      </c>
      <c r="G119" s="232">
        <v>35.1</v>
      </c>
      <c r="H119" s="231">
        <v>35.1</v>
      </c>
      <c r="I119" s="232">
        <v>35</v>
      </c>
      <c r="J119" s="232">
        <v>34.799999999999997</v>
      </c>
      <c r="K119" s="282"/>
    </row>
    <row r="120" spans="1:11" s="60" customFormat="1" ht="18.75" x14ac:dyDescent="0.2">
      <c r="A120" s="78" t="s">
        <v>275</v>
      </c>
      <c r="B120" s="62">
        <f t="shared" si="11"/>
        <v>86</v>
      </c>
      <c r="C120" s="80" t="s">
        <v>160</v>
      </c>
      <c r="D120" s="231">
        <v>925.3</v>
      </c>
      <c r="E120" s="231">
        <v>1450</v>
      </c>
      <c r="F120" s="232">
        <f t="shared" ref="F120:F126" si="17">G120+H120+I120+J120</f>
        <v>1400</v>
      </c>
      <c r="G120" s="232">
        <v>371.7</v>
      </c>
      <c r="H120" s="231">
        <v>318.2</v>
      </c>
      <c r="I120" s="232">
        <v>324.89999999999998</v>
      </c>
      <c r="J120" s="232">
        <v>385.2</v>
      </c>
      <c r="K120" s="273"/>
    </row>
    <row r="121" spans="1:11" s="60" customFormat="1" ht="18.75" x14ac:dyDescent="0.2">
      <c r="A121" s="78" t="s">
        <v>276</v>
      </c>
      <c r="B121" s="62">
        <f t="shared" si="11"/>
        <v>87</v>
      </c>
      <c r="C121" s="80" t="s">
        <v>161</v>
      </c>
      <c r="D121" s="231">
        <v>0</v>
      </c>
      <c r="E121" s="231">
        <v>0</v>
      </c>
      <c r="F121" s="232">
        <f t="shared" si="17"/>
        <v>0</v>
      </c>
      <c r="G121" s="232">
        <v>0</v>
      </c>
      <c r="H121" s="231">
        <v>0</v>
      </c>
      <c r="I121" s="232">
        <v>0</v>
      </c>
      <c r="J121" s="232">
        <v>0</v>
      </c>
      <c r="K121" s="209"/>
    </row>
    <row r="122" spans="1:11" s="60" customFormat="1" ht="19.5" thickBot="1" x14ac:dyDescent="0.25">
      <c r="A122" s="86" t="s">
        <v>162</v>
      </c>
      <c r="B122" s="82">
        <f t="shared" si="11"/>
        <v>88</v>
      </c>
      <c r="C122" s="87" t="s">
        <v>163</v>
      </c>
      <c r="D122" s="241">
        <v>21.6</v>
      </c>
      <c r="E122" s="241">
        <v>48</v>
      </c>
      <c r="F122" s="232">
        <f t="shared" si="17"/>
        <v>250</v>
      </c>
      <c r="G122" s="243">
        <v>12</v>
      </c>
      <c r="H122" s="241">
        <v>215</v>
      </c>
      <c r="I122" s="243">
        <v>12</v>
      </c>
      <c r="J122" s="243">
        <v>11</v>
      </c>
      <c r="K122" s="211"/>
    </row>
    <row r="123" spans="1:11" s="60" customFormat="1" ht="19.5" thickBot="1" x14ac:dyDescent="0.25">
      <c r="A123" s="74" t="s">
        <v>164</v>
      </c>
      <c r="B123" s="73">
        <f t="shared" si="11"/>
        <v>89</v>
      </c>
      <c r="C123" s="75">
        <v>1150</v>
      </c>
      <c r="D123" s="230">
        <f t="shared" ref="D123:J123" si="18">SUM(D124:D126)</f>
        <v>3008.1</v>
      </c>
      <c r="E123" s="230">
        <f t="shared" si="18"/>
        <v>1631.2</v>
      </c>
      <c r="F123" s="230">
        <f t="shared" si="18"/>
        <v>3119.6</v>
      </c>
      <c r="G123" s="230">
        <f t="shared" si="18"/>
        <v>461.3</v>
      </c>
      <c r="H123" s="230">
        <f t="shared" si="18"/>
        <v>468.7</v>
      </c>
      <c r="I123" s="230">
        <f t="shared" si="18"/>
        <v>1094.8</v>
      </c>
      <c r="J123" s="230">
        <f t="shared" si="18"/>
        <v>1094.8</v>
      </c>
      <c r="K123" s="215"/>
    </row>
    <row r="124" spans="1:11" s="60" customFormat="1" ht="18.75" x14ac:dyDescent="0.2">
      <c r="A124" s="84" t="s">
        <v>165</v>
      </c>
      <c r="B124" s="57">
        <f t="shared" si="11"/>
        <v>90</v>
      </c>
      <c r="C124" s="79" t="s">
        <v>166</v>
      </c>
      <c r="D124" s="245">
        <v>3008.1</v>
      </c>
      <c r="E124" s="245">
        <v>1631.2</v>
      </c>
      <c r="F124" s="232">
        <f t="shared" si="17"/>
        <v>3119.6</v>
      </c>
      <c r="G124" s="250">
        <v>461.3</v>
      </c>
      <c r="H124" s="250">
        <v>468.7</v>
      </c>
      <c r="I124" s="250">
        <v>1094.8</v>
      </c>
      <c r="J124" s="250">
        <v>1094.8</v>
      </c>
      <c r="K124" s="279" t="s">
        <v>314</v>
      </c>
    </row>
    <row r="125" spans="1:11" s="60" customFormat="1" ht="18.75" x14ac:dyDescent="0.2">
      <c r="A125" s="78" t="s">
        <v>167</v>
      </c>
      <c r="B125" s="62">
        <f t="shared" si="11"/>
        <v>91</v>
      </c>
      <c r="C125" s="80" t="s">
        <v>168</v>
      </c>
      <c r="D125" s="231">
        <v>0</v>
      </c>
      <c r="E125" s="254">
        <v>0</v>
      </c>
      <c r="F125" s="232">
        <f t="shared" si="17"/>
        <v>0</v>
      </c>
      <c r="G125" s="232">
        <v>0</v>
      </c>
      <c r="H125" s="231">
        <v>0</v>
      </c>
      <c r="I125" s="232">
        <v>0</v>
      </c>
      <c r="J125" s="232">
        <v>0</v>
      </c>
      <c r="K125" s="209"/>
    </row>
    <row r="126" spans="1:11" s="60" customFormat="1" ht="19.5" thickBot="1" x14ac:dyDescent="0.25">
      <c r="A126" s="86" t="s">
        <v>169</v>
      </c>
      <c r="B126" s="82">
        <f t="shared" si="11"/>
        <v>92</v>
      </c>
      <c r="C126" s="87" t="s">
        <v>170</v>
      </c>
      <c r="D126" s="241">
        <v>0</v>
      </c>
      <c r="E126" s="255">
        <v>0</v>
      </c>
      <c r="F126" s="232">
        <f t="shared" si="17"/>
        <v>0</v>
      </c>
      <c r="G126" s="243">
        <v>0</v>
      </c>
      <c r="H126" s="241">
        <v>0</v>
      </c>
      <c r="I126" s="243">
        <v>0</v>
      </c>
      <c r="J126" s="243">
        <v>0</v>
      </c>
      <c r="K126" s="211"/>
    </row>
    <row r="127" spans="1:11" s="60" customFormat="1" ht="21" thickBot="1" x14ac:dyDescent="0.25">
      <c r="A127" s="72" t="s">
        <v>171</v>
      </c>
      <c r="B127" s="73">
        <f t="shared" ref="B127:B158" si="19">B126+1</f>
        <v>93</v>
      </c>
      <c r="C127" s="49">
        <v>1160</v>
      </c>
      <c r="D127" s="228"/>
      <c r="E127" s="228"/>
      <c r="F127" s="230"/>
      <c r="G127" s="230"/>
      <c r="H127" s="230"/>
      <c r="I127" s="230"/>
      <c r="J127" s="230"/>
      <c r="K127" s="212"/>
    </row>
    <row r="128" spans="1:11" s="60" customFormat="1" ht="21" thickBot="1" x14ac:dyDescent="0.25">
      <c r="A128" s="72" t="s">
        <v>172</v>
      </c>
      <c r="B128" s="73">
        <f t="shared" si="19"/>
        <v>94</v>
      </c>
      <c r="C128" s="49">
        <v>1170</v>
      </c>
      <c r="D128" s="228">
        <f t="shared" ref="D128:J128" si="20">D34</f>
        <v>74700.800000000003</v>
      </c>
      <c r="E128" s="228">
        <f t="shared" si="20"/>
        <v>70404</v>
      </c>
      <c r="F128" s="228">
        <f t="shared" si="20"/>
        <v>65331.199999999997</v>
      </c>
      <c r="G128" s="228">
        <f t="shared" si="20"/>
        <v>17207.3</v>
      </c>
      <c r="H128" s="228">
        <f t="shared" si="20"/>
        <v>15522.300000000001</v>
      </c>
      <c r="I128" s="228">
        <f t="shared" si="20"/>
        <v>15618.9</v>
      </c>
      <c r="J128" s="228">
        <f t="shared" si="20"/>
        <v>16982.7</v>
      </c>
      <c r="K128" s="212"/>
    </row>
    <row r="129" spans="1:11" s="60" customFormat="1" ht="21" thickBot="1" x14ac:dyDescent="0.25">
      <c r="A129" s="88" t="s">
        <v>173</v>
      </c>
      <c r="B129" s="73">
        <f t="shared" si="19"/>
        <v>95</v>
      </c>
      <c r="C129" s="89">
        <v>1180</v>
      </c>
      <c r="D129" s="233">
        <f t="shared" ref="D129:J129" si="21">D52</f>
        <v>73156.699999999983</v>
      </c>
      <c r="E129" s="233">
        <f t="shared" si="21"/>
        <v>74850.5</v>
      </c>
      <c r="F129" s="233">
        <f t="shared" si="21"/>
        <v>71688.799999999988</v>
      </c>
      <c r="G129" s="233">
        <f t="shared" si="21"/>
        <v>18689.800000000003</v>
      </c>
      <c r="H129" s="233">
        <f t="shared" si="21"/>
        <v>17191.5</v>
      </c>
      <c r="I129" s="233">
        <f t="shared" si="21"/>
        <v>17243.099999999999</v>
      </c>
      <c r="J129" s="233">
        <f t="shared" si="21"/>
        <v>18564.399999999998</v>
      </c>
      <c r="K129" s="217"/>
    </row>
    <row r="130" spans="1:11" s="60" customFormat="1" ht="21.75" thickBot="1" x14ac:dyDescent="0.25">
      <c r="A130" s="72" t="s">
        <v>174</v>
      </c>
      <c r="B130" s="73">
        <f t="shared" si="19"/>
        <v>96</v>
      </c>
      <c r="C130" s="49">
        <v>1190</v>
      </c>
      <c r="D130" s="228">
        <f t="shared" ref="D130:J130" si="22">D128-D129</f>
        <v>1544.1000000000204</v>
      </c>
      <c r="E130" s="228">
        <f t="shared" si="22"/>
        <v>-4446.5</v>
      </c>
      <c r="F130" s="228">
        <f t="shared" si="22"/>
        <v>-6357.5999999999913</v>
      </c>
      <c r="G130" s="228">
        <f t="shared" si="22"/>
        <v>-1482.5000000000036</v>
      </c>
      <c r="H130" s="228">
        <f t="shared" si="22"/>
        <v>-1669.1999999999989</v>
      </c>
      <c r="I130" s="228">
        <f t="shared" si="22"/>
        <v>-1624.1999999999989</v>
      </c>
      <c r="J130" s="228">
        <f t="shared" si="22"/>
        <v>-1581.6999999999971</v>
      </c>
      <c r="K130" s="216"/>
    </row>
    <row r="131" spans="1:11" s="60" customFormat="1" ht="21" thickBot="1" x14ac:dyDescent="0.25">
      <c r="A131" s="72" t="s">
        <v>175</v>
      </c>
      <c r="B131" s="73">
        <f t="shared" si="19"/>
        <v>97</v>
      </c>
      <c r="C131" s="49">
        <v>2000</v>
      </c>
      <c r="D131" s="228">
        <f t="shared" ref="D131:J131" si="23">SUM(D132:D135)</f>
        <v>17437.099999999999</v>
      </c>
      <c r="E131" s="228">
        <v>17785.2</v>
      </c>
      <c r="F131" s="228">
        <f t="shared" si="23"/>
        <v>17284.148999999998</v>
      </c>
      <c r="G131" s="228">
        <f t="shared" si="23"/>
        <v>4343.5855000000001</v>
      </c>
      <c r="H131" s="228">
        <f t="shared" si="23"/>
        <v>4298.9035000000003</v>
      </c>
      <c r="I131" s="228">
        <f t="shared" si="23"/>
        <v>4298.3500000000004</v>
      </c>
      <c r="J131" s="228">
        <f t="shared" si="23"/>
        <v>4343.3100000000004</v>
      </c>
      <c r="K131" s="212"/>
    </row>
    <row r="132" spans="1:11" s="60" customFormat="1" ht="37.5" x14ac:dyDescent="0.2">
      <c r="A132" s="61" t="s">
        <v>176</v>
      </c>
      <c r="B132" s="57">
        <f t="shared" si="19"/>
        <v>98</v>
      </c>
      <c r="C132" s="63">
        <v>2010</v>
      </c>
      <c r="D132" s="274">
        <v>8944.4</v>
      </c>
      <c r="E132" s="224">
        <v>9225.6</v>
      </c>
      <c r="F132" s="239">
        <f>G132+H132+I132+J132</f>
        <v>8965.7999999999993</v>
      </c>
      <c r="G132" s="225">
        <f>G66+G108</f>
        <v>2253.4</v>
      </c>
      <c r="H132" s="225">
        <f>H66+H108</f>
        <v>2229.6999999999998</v>
      </c>
      <c r="I132" s="225">
        <f>I66+I108</f>
        <v>2229.4</v>
      </c>
      <c r="J132" s="225">
        <f>J66+J108</f>
        <v>2253.3000000000002</v>
      </c>
      <c r="K132" s="209"/>
    </row>
    <row r="133" spans="1:11" s="60" customFormat="1" ht="18.75" x14ac:dyDescent="0.2">
      <c r="A133" s="61" t="s">
        <v>177</v>
      </c>
      <c r="B133" s="62">
        <f t="shared" si="19"/>
        <v>99</v>
      </c>
      <c r="C133" s="63">
        <v>2020</v>
      </c>
      <c r="D133" s="274">
        <v>8492.7000000000007</v>
      </c>
      <c r="E133" s="224">
        <v>8559.6</v>
      </c>
      <c r="F133" s="225">
        <f>G133+H133+I133+J133</f>
        <v>8318.3490000000002</v>
      </c>
      <c r="G133" s="225">
        <f>(G65+G107)*0.195</f>
        <v>2090.1855</v>
      </c>
      <c r="H133" s="225">
        <f>(H65+H107)*0.195</f>
        <v>2069.2035000000001</v>
      </c>
      <c r="I133" s="225">
        <f>(I65+I107)*0.195</f>
        <v>2068.9500000000003</v>
      </c>
      <c r="J133" s="225">
        <f>(J65+J107)*0.195</f>
        <v>2090.0100000000002</v>
      </c>
      <c r="K133" s="209"/>
    </row>
    <row r="134" spans="1:11" s="60" customFormat="1" ht="18.75" x14ac:dyDescent="0.2">
      <c r="A134" s="61" t="s">
        <v>178</v>
      </c>
      <c r="B134" s="62">
        <f t="shared" si="19"/>
        <v>100</v>
      </c>
      <c r="C134" s="63">
        <v>2030</v>
      </c>
      <c r="D134" s="224">
        <v>0</v>
      </c>
      <c r="E134" s="266">
        <v>0</v>
      </c>
      <c r="F134" s="268">
        <f>G134+H134+I134+J134</f>
        <v>0</v>
      </c>
      <c r="G134" s="268">
        <v>0</v>
      </c>
      <c r="H134" s="266">
        <v>0</v>
      </c>
      <c r="I134" s="268">
        <v>0</v>
      </c>
      <c r="J134" s="268">
        <v>0</v>
      </c>
      <c r="K134" s="273"/>
    </row>
    <row r="135" spans="1:11" s="55" customFormat="1" ht="21" thickBot="1" x14ac:dyDescent="0.25">
      <c r="A135" s="81" t="s">
        <v>179</v>
      </c>
      <c r="B135" s="71">
        <f t="shared" si="19"/>
        <v>101</v>
      </c>
      <c r="C135" s="90">
        <v>2040</v>
      </c>
      <c r="D135" s="226">
        <v>0</v>
      </c>
      <c r="E135" s="267">
        <v>0</v>
      </c>
      <c r="F135" s="328">
        <f>G135+H135+I135+J135</f>
        <v>0</v>
      </c>
      <c r="G135" s="269">
        <v>0</v>
      </c>
      <c r="H135" s="267">
        <v>0</v>
      </c>
      <c r="I135" s="269">
        <v>0</v>
      </c>
      <c r="J135" s="269">
        <v>0</v>
      </c>
      <c r="K135" s="211"/>
    </row>
    <row r="136" spans="1:11" s="60" customFormat="1" ht="21" thickBot="1" x14ac:dyDescent="0.25">
      <c r="A136" s="52" t="s">
        <v>180</v>
      </c>
      <c r="B136" s="53">
        <f t="shared" si="19"/>
        <v>102</v>
      </c>
      <c r="C136" s="54">
        <v>3000</v>
      </c>
      <c r="D136" s="220">
        <f>D137+D139+D146</f>
        <v>0</v>
      </c>
      <c r="E136" s="220">
        <f>E137+E139+E146</f>
        <v>0</v>
      </c>
      <c r="F136" s="271">
        <f>G136+H136+I136+J136</f>
        <v>0</v>
      </c>
      <c r="G136" s="220">
        <f>G137+G139+G146</f>
        <v>0</v>
      </c>
      <c r="H136" s="220">
        <f>H137+H139+H146</f>
        <v>0</v>
      </c>
      <c r="I136" s="220">
        <f>I137+I139+I146</f>
        <v>0</v>
      </c>
      <c r="J136" s="220">
        <f>J137+J139+J146</f>
        <v>0</v>
      </c>
      <c r="K136" s="205"/>
    </row>
    <row r="137" spans="1:11" s="60" customFormat="1" ht="18.75" x14ac:dyDescent="0.2">
      <c r="A137" s="56" t="s">
        <v>181</v>
      </c>
      <c r="B137" s="57">
        <f t="shared" si="19"/>
        <v>103</v>
      </c>
      <c r="C137" s="58">
        <v>3010</v>
      </c>
      <c r="D137" s="222"/>
      <c r="E137" s="272"/>
      <c r="F137" s="277">
        <v>0</v>
      </c>
      <c r="G137" s="271"/>
      <c r="H137" s="271"/>
      <c r="I137" s="271"/>
      <c r="J137" s="271"/>
      <c r="K137" s="207"/>
    </row>
    <row r="138" spans="1:11" s="60" customFormat="1" ht="18.75" x14ac:dyDescent="0.2">
      <c r="A138" s="61" t="s">
        <v>182</v>
      </c>
      <c r="B138" s="62">
        <f t="shared" si="19"/>
        <v>104</v>
      </c>
      <c r="C138" s="63">
        <v>3020</v>
      </c>
      <c r="D138" s="224"/>
      <c r="E138" s="266"/>
      <c r="F138" s="268">
        <v>0</v>
      </c>
      <c r="G138" s="268"/>
      <c r="H138" s="268"/>
      <c r="I138" s="268"/>
      <c r="J138" s="268"/>
      <c r="K138" s="209"/>
    </row>
    <row r="139" spans="1:11" s="60" customFormat="1" ht="18.75" x14ac:dyDescent="0.2">
      <c r="A139" s="61" t="s">
        <v>183</v>
      </c>
      <c r="B139" s="62">
        <f t="shared" si="19"/>
        <v>105</v>
      </c>
      <c r="C139" s="63">
        <v>3030</v>
      </c>
      <c r="D139" s="268"/>
      <c r="E139" s="268"/>
      <c r="F139" s="268">
        <f t="shared" ref="F139:F146" si="24">G139+H139+I139+J139</f>
        <v>0</v>
      </c>
      <c r="G139" s="268"/>
      <c r="H139" s="268"/>
      <c r="I139" s="268"/>
      <c r="J139" s="268"/>
      <c r="K139" s="209"/>
    </row>
    <row r="140" spans="1:11" s="55" customFormat="1" ht="20.25" x14ac:dyDescent="0.2">
      <c r="A140" s="61" t="s">
        <v>184</v>
      </c>
      <c r="B140" s="62">
        <f t="shared" si="19"/>
        <v>106</v>
      </c>
      <c r="C140" s="63" t="s">
        <v>185</v>
      </c>
      <c r="D140" s="274"/>
      <c r="E140" s="266"/>
      <c r="F140" s="278">
        <f t="shared" si="24"/>
        <v>0</v>
      </c>
      <c r="G140" s="268"/>
      <c r="H140" s="268"/>
      <c r="I140" s="268"/>
      <c r="J140" s="268"/>
      <c r="K140" s="273"/>
    </row>
    <row r="141" spans="1:11" s="60" customFormat="1" ht="18.75" x14ac:dyDescent="0.2">
      <c r="A141" s="61" t="s">
        <v>186</v>
      </c>
      <c r="B141" s="62">
        <f t="shared" si="19"/>
        <v>107</v>
      </c>
      <c r="C141" s="63" t="s">
        <v>187</v>
      </c>
      <c r="D141" s="274"/>
      <c r="E141" s="266"/>
      <c r="F141" s="271">
        <f t="shared" si="24"/>
        <v>0</v>
      </c>
      <c r="G141" s="268"/>
      <c r="H141" s="266"/>
      <c r="I141" s="268"/>
      <c r="J141" s="268"/>
      <c r="K141" s="273"/>
    </row>
    <row r="142" spans="1:11" s="60" customFormat="1" ht="18.75" x14ac:dyDescent="0.2">
      <c r="A142" s="61" t="s">
        <v>188</v>
      </c>
      <c r="B142" s="62">
        <f t="shared" si="19"/>
        <v>108</v>
      </c>
      <c r="C142" s="63" t="s">
        <v>189</v>
      </c>
      <c r="D142" s="274"/>
      <c r="E142" s="266"/>
      <c r="F142" s="268">
        <f t="shared" si="24"/>
        <v>0</v>
      </c>
      <c r="G142" s="268"/>
      <c r="H142" s="266"/>
      <c r="I142" s="268"/>
      <c r="J142" s="268"/>
      <c r="K142" s="209"/>
    </row>
    <row r="143" spans="1:11" s="60" customFormat="1" ht="18.75" x14ac:dyDescent="0.2">
      <c r="A143" s="61" t="s">
        <v>190</v>
      </c>
      <c r="B143" s="62">
        <f t="shared" si="19"/>
        <v>109</v>
      </c>
      <c r="C143" s="63" t="s">
        <v>191</v>
      </c>
      <c r="D143" s="224"/>
      <c r="E143" s="266"/>
      <c r="F143" s="268">
        <f t="shared" si="24"/>
        <v>0</v>
      </c>
      <c r="G143" s="268"/>
      <c r="H143" s="266"/>
      <c r="I143" s="268"/>
      <c r="J143" s="268"/>
      <c r="K143" s="209"/>
    </row>
    <row r="144" spans="1:11" s="60" customFormat="1" ht="37.5" x14ac:dyDescent="0.2">
      <c r="A144" s="61" t="s">
        <v>192</v>
      </c>
      <c r="B144" s="62">
        <f t="shared" si="19"/>
        <v>110</v>
      </c>
      <c r="C144" s="63" t="s">
        <v>193</v>
      </c>
      <c r="D144" s="224"/>
      <c r="E144" s="266"/>
      <c r="F144" s="278">
        <f t="shared" si="24"/>
        <v>0</v>
      </c>
      <c r="G144" s="268"/>
      <c r="H144" s="266"/>
      <c r="I144" s="268"/>
      <c r="J144" s="268"/>
      <c r="K144" s="209"/>
    </row>
    <row r="145" spans="1:13" s="60" customFormat="1" ht="18.75" x14ac:dyDescent="0.2">
      <c r="A145" s="61" t="s">
        <v>194</v>
      </c>
      <c r="B145" s="62">
        <f t="shared" si="19"/>
        <v>111</v>
      </c>
      <c r="C145" s="63" t="s">
        <v>195</v>
      </c>
      <c r="D145" s="224"/>
      <c r="E145" s="266"/>
      <c r="F145" s="271">
        <f t="shared" si="24"/>
        <v>0</v>
      </c>
      <c r="G145" s="268"/>
      <c r="H145" s="266"/>
      <c r="I145" s="268"/>
      <c r="J145" s="268"/>
      <c r="K145" s="209"/>
    </row>
    <row r="146" spans="1:13" s="60" customFormat="1" ht="19.5" thickBot="1" x14ac:dyDescent="0.25">
      <c r="A146" s="81" t="s">
        <v>196</v>
      </c>
      <c r="B146" s="71">
        <f t="shared" si="19"/>
        <v>112</v>
      </c>
      <c r="C146" s="90">
        <v>3040</v>
      </c>
      <c r="D146" s="234"/>
      <c r="E146" s="270"/>
      <c r="F146" s="268">
        <f t="shared" si="24"/>
        <v>0</v>
      </c>
      <c r="G146" s="268"/>
      <c r="H146" s="266"/>
      <c r="I146" s="268"/>
      <c r="J146" s="268"/>
      <c r="K146" s="218"/>
    </row>
    <row r="147" spans="1:13" s="60" customFormat="1" ht="21" thickBot="1" x14ac:dyDescent="0.25">
      <c r="A147" s="72" t="s">
        <v>197</v>
      </c>
      <c r="B147" s="73">
        <f t="shared" si="19"/>
        <v>113</v>
      </c>
      <c r="C147" s="49">
        <v>4000</v>
      </c>
      <c r="D147" s="228">
        <v>71515.7</v>
      </c>
      <c r="E147" s="228">
        <v>71450.2</v>
      </c>
      <c r="F147" s="229">
        <v>71517.5</v>
      </c>
      <c r="G147" s="229"/>
      <c r="H147" s="228"/>
      <c r="I147" s="229"/>
      <c r="J147" s="229"/>
      <c r="K147" s="212"/>
      <c r="M147" s="306"/>
    </row>
    <row r="148" spans="1:13" s="60" customFormat="1" ht="21" thickBot="1" x14ac:dyDescent="0.25">
      <c r="A148" s="72" t="s">
        <v>198</v>
      </c>
      <c r="B148" s="73">
        <f t="shared" si="19"/>
        <v>114</v>
      </c>
      <c r="C148" s="49">
        <v>5000</v>
      </c>
      <c r="D148" s="228"/>
      <c r="E148" s="228"/>
      <c r="F148" s="230"/>
      <c r="G148" s="229"/>
      <c r="H148" s="228"/>
      <c r="I148" s="229"/>
      <c r="J148" s="229"/>
      <c r="K148" s="212"/>
    </row>
    <row r="149" spans="1:13" s="60" customFormat="1" ht="18.75" x14ac:dyDescent="0.2">
      <c r="A149" s="61" t="s">
        <v>199</v>
      </c>
      <c r="B149" s="57">
        <f t="shared" si="19"/>
        <v>115</v>
      </c>
      <c r="C149" s="63">
        <v>5010</v>
      </c>
      <c r="D149" s="268">
        <f>SUM(D150:D153)</f>
        <v>1496.6</v>
      </c>
      <c r="E149" s="268">
        <f>SUM(E150:E153)</f>
        <v>912</v>
      </c>
      <c r="F149" s="271">
        <f t="shared" ref="F149:F158" si="25">G149+H149+I149+J149</f>
        <v>0</v>
      </c>
      <c r="G149" s="268">
        <f>SUM(G150:G153)</f>
        <v>0</v>
      </c>
      <c r="H149" s="268">
        <f>SUM(H150:H153)</f>
        <v>0</v>
      </c>
      <c r="I149" s="268">
        <f>SUM(I150:I153)</f>
        <v>0</v>
      </c>
      <c r="J149" s="268">
        <f>SUM(J150:J153)</f>
        <v>0</v>
      </c>
      <c r="K149" s="209"/>
    </row>
    <row r="150" spans="1:13" s="91" customFormat="1" ht="18.75" x14ac:dyDescent="0.2">
      <c r="A150" s="61" t="s">
        <v>200</v>
      </c>
      <c r="B150" s="62">
        <f t="shared" si="19"/>
        <v>116</v>
      </c>
      <c r="C150" s="63" t="s">
        <v>201</v>
      </c>
      <c r="D150" s="224"/>
      <c r="E150" s="266"/>
      <c r="F150" s="271">
        <f t="shared" si="25"/>
        <v>0</v>
      </c>
      <c r="G150" s="268"/>
      <c r="H150" s="266"/>
      <c r="I150" s="268"/>
      <c r="J150" s="268"/>
      <c r="K150" s="209"/>
    </row>
    <row r="151" spans="1:13" s="55" customFormat="1" ht="20.25" x14ac:dyDescent="0.2">
      <c r="A151" s="61" t="s">
        <v>202</v>
      </c>
      <c r="B151" s="62">
        <f t="shared" si="19"/>
        <v>117</v>
      </c>
      <c r="C151" s="63" t="s">
        <v>203</v>
      </c>
      <c r="D151" s="224"/>
      <c r="E151" s="266"/>
      <c r="F151" s="271">
        <f t="shared" si="25"/>
        <v>0</v>
      </c>
      <c r="G151" s="268"/>
      <c r="H151" s="266"/>
      <c r="I151" s="268"/>
      <c r="J151" s="268"/>
      <c r="K151" s="209"/>
    </row>
    <row r="152" spans="1:13" s="55" customFormat="1" ht="20.25" x14ac:dyDescent="0.2">
      <c r="A152" s="61" t="s">
        <v>204</v>
      </c>
      <c r="B152" s="62">
        <f t="shared" si="19"/>
        <v>118</v>
      </c>
      <c r="C152" s="63" t="s">
        <v>205</v>
      </c>
      <c r="D152" s="274">
        <v>1496.6</v>
      </c>
      <c r="E152" s="268">
        <v>912</v>
      </c>
      <c r="F152" s="271">
        <f t="shared" si="25"/>
        <v>0</v>
      </c>
      <c r="G152" s="268"/>
      <c r="H152" s="266"/>
      <c r="I152" s="268"/>
      <c r="J152" s="268"/>
      <c r="K152" s="209"/>
    </row>
    <row r="153" spans="1:13" s="60" customFormat="1" ht="18.75" x14ac:dyDescent="0.2">
      <c r="A153" s="61" t="s">
        <v>206</v>
      </c>
      <c r="B153" s="62">
        <f t="shared" si="19"/>
        <v>119</v>
      </c>
      <c r="C153" s="63">
        <v>5020</v>
      </c>
      <c r="D153" s="224"/>
      <c r="E153" s="266"/>
      <c r="F153" s="271">
        <f t="shared" si="25"/>
        <v>0</v>
      </c>
      <c r="G153" s="268"/>
      <c r="H153" s="266"/>
      <c r="I153" s="268"/>
      <c r="J153" s="268"/>
      <c r="K153" s="209"/>
    </row>
    <row r="154" spans="1:13" s="60" customFormat="1" ht="18.75" x14ac:dyDescent="0.2">
      <c r="A154" s="61" t="s">
        <v>207</v>
      </c>
      <c r="B154" s="62">
        <f t="shared" si="19"/>
        <v>120</v>
      </c>
      <c r="C154" s="63">
        <v>5030</v>
      </c>
      <c r="D154" s="224">
        <v>1496.6</v>
      </c>
      <c r="E154" s="268">
        <f>SUM(E155:E158)</f>
        <v>912</v>
      </c>
      <c r="F154" s="271">
        <f t="shared" si="25"/>
        <v>0</v>
      </c>
      <c r="G154" s="268">
        <f>SUM(G155:G158)</f>
        <v>0</v>
      </c>
      <c r="H154" s="268">
        <f>SUM(H155:H158)</f>
        <v>0</v>
      </c>
      <c r="I154" s="268">
        <f>SUM(I155:I158)</f>
        <v>0</v>
      </c>
      <c r="J154" s="268">
        <f>SUM(J155:J158)</f>
        <v>0</v>
      </c>
      <c r="K154" s="209"/>
    </row>
    <row r="155" spans="1:13" s="60" customFormat="1" ht="18.75" x14ac:dyDescent="0.2">
      <c r="A155" s="61" t="s">
        <v>200</v>
      </c>
      <c r="B155" s="62">
        <f t="shared" si="19"/>
        <v>121</v>
      </c>
      <c r="C155" s="63" t="s">
        <v>208</v>
      </c>
      <c r="D155" s="224"/>
      <c r="E155" s="266"/>
      <c r="F155" s="271">
        <f t="shared" si="25"/>
        <v>0</v>
      </c>
      <c r="G155" s="268"/>
      <c r="H155" s="266"/>
      <c r="I155" s="268"/>
      <c r="J155" s="268"/>
      <c r="K155" s="209"/>
    </row>
    <row r="156" spans="1:13" s="60" customFormat="1" ht="18.75" x14ac:dyDescent="0.2">
      <c r="A156" s="61" t="s">
        <v>202</v>
      </c>
      <c r="B156" s="62">
        <f t="shared" si="19"/>
        <v>122</v>
      </c>
      <c r="C156" s="63" t="s">
        <v>209</v>
      </c>
      <c r="D156" s="224"/>
      <c r="E156" s="266"/>
      <c r="F156" s="271">
        <f t="shared" si="25"/>
        <v>0</v>
      </c>
      <c r="G156" s="268"/>
      <c r="H156" s="266"/>
      <c r="I156" s="268"/>
      <c r="J156" s="268"/>
      <c r="K156" s="209"/>
    </row>
    <row r="157" spans="1:13" s="60" customFormat="1" ht="18.75" x14ac:dyDescent="0.2">
      <c r="A157" s="61" t="s">
        <v>204</v>
      </c>
      <c r="B157" s="62">
        <f t="shared" si="19"/>
        <v>123</v>
      </c>
      <c r="C157" s="63" t="s">
        <v>210</v>
      </c>
      <c r="D157" s="274">
        <v>1496.6</v>
      </c>
      <c r="E157" s="266">
        <v>912</v>
      </c>
      <c r="F157" s="271">
        <f t="shared" si="25"/>
        <v>0</v>
      </c>
      <c r="G157" s="268"/>
      <c r="H157" s="266"/>
      <c r="I157" s="268"/>
      <c r="J157" s="268"/>
      <c r="K157" s="209"/>
    </row>
    <row r="158" spans="1:13" s="60" customFormat="1" ht="19.5" thickBot="1" x14ac:dyDescent="0.25">
      <c r="A158" s="61" t="s">
        <v>211</v>
      </c>
      <c r="B158" s="71">
        <f t="shared" si="19"/>
        <v>124</v>
      </c>
      <c r="C158" s="63">
        <v>5040</v>
      </c>
      <c r="D158" s="224"/>
      <c r="E158" s="266"/>
      <c r="F158" s="271">
        <f t="shared" si="25"/>
        <v>0</v>
      </c>
      <c r="G158" s="268"/>
      <c r="H158" s="266"/>
      <c r="I158" s="268"/>
      <c r="J158" s="268"/>
      <c r="K158" s="209"/>
    </row>
    <row r="159" spans="1:13" s="60" customFormat="1" ht="21" thickBot="1" x14ac:dyDescent="0.25">
      <c r="A159" s="72" t="s">
        <v>212</v>
      </c>
      <c r="B159" s="73">
        <f t="shared" ref="B159:B169" si="26">B158+1</f>
        <v>125</v>
      </c>
      <c r="C159" s="49">
        <v>6000</v>
      </c>
      <c r="D159" s="228"/>
      <c r="E159" s="228"/>
      <c r="F159" s="230"/>
      <c r="G159" s="229"/>
      <c r="H159" s="228"/>
      <c r="I159" s="229"/>
      <c r="J159" s="229"/>
      <c r="K159" s="212"/>
    </row>
    <row r="160" spans="1:13" s="60" customFormat="1" ht="18.75" x14ac:dyDescent="0.2">
      <c r="A160" s="61" t="s">
        <v>213</v>
      </c>
      <c r="B160" s="57">
        <f t="shared" si="26"/>
        <v>126</v>
      </c>
      <c r="C160" s="63">
        <v>6010</v>
      </c>
      <c r="D160" s="224"/>
      <c r="E160" s="224"/>
      <c r="F160" s="239"/>
      <c r="G160" s="225"/>
      <c r="H160" s="224"/>
      <c r="I160" s="225"/>
      <c r="J160" s="225"/>
      <c r="K160" s="209"/>
    </row>
    <row r="161" spans="1:11" s="60" customFormat="1" ht="18.75" x14ac:dyDescent="0.2">
      <c r="A161" s="61" t="s">
        <v>214</v>
      </c>
      <c r="B161" s="62">
        <f t="shared" si="26"/>
        <v>127</v>
      </c>
      <c r="C161" s="63">
        <v>6020</v>
      </c>
      <c r="D161" s="224"/>
      <c r="E161" s="224"/>
      <c r="F161" s="225"/>
      <c r="G161" s="225"/>
      <c r="H161" s="224"/>
      <c r="I161" s="225"/>
      <c r="J161" s="225"/>
      <c r="K161" s="209"/>
    </row>
    <row r="162" spans="1:11" s="60" customFormat="1" ht="37.5" x14ac:dyDescent="0.2">
      <c r="A162" s="61" t="s">
        <v>215</v>
      </c>
      <c r="B162" s="62">
        <f t="shared" si="26"/>
        <v>128</v>
      </c>
      <c r="C162" s="63">
        <v>6030</v>
      </c>
      <c r="D162" s="224"/>
      <c r="E162" s="224"/>
      <c r="F162" s="225"/>
      <c r="G162" s="225"/>
      <c r="H162" s="224"/>
      <c r="I162" s="225"/>
      <c r="J162" s="225"/>
      <c r="K162" s="209"/>
    </row>
    <row r="163" spans="1:11" s="60" customFormat="1" ht="19.5" thickBot="1" x14ac:dyDescent="0.25">
      <c r="A163" s="81" t="s">
        <v>216</v>
      </c>
      <c r="B163" s="71">
        <f t="shared" si="26"/>
        <v>129</v>
      </c>
      <c r="C163" s="90">
        <v>6040</v>
      </c>
      <c r="D163" s="226"/>
      <c r="E163" s="226"/>
      <c r="F163" s="240"/>
      <c r="G163" s="269"/>
      <c r="H163" s="267"/>
      <c r="I163" s="269"/>
      <c r="J163" s="269"/>
      <c r="K163" s="211"/>
    </row>
    <row r="164" spans="1:11" s="60" customFormat="1" ht="21" thickBot="1" x14ac:dyDescent="0.25">
      <c r="A164" s="72" t="s">
        <v>217</v>
      </c>
      <c r="B164" s="73">
        <f t="shared" si="26"/>
        <v>130</v>
      </c>
      <c r="C164" s="49">
        <v>7000</v>
      </c>
      <c r="D164" s="228"/>
      <c r="E164" s="228"/>
      <c r="F164" s="229"/>
      <c r="G164" s="229"/>
      <c r="H164" s="228"/>
      <c r="I164" s="229"/>
      <c r="J164" s="229"/>
      <c r="K164" s="212"/>
    </row>
    <row r="165" spans="1:11" s="60" customFormat="1" ht="18.75" x14ac:dyDescent="0.2">
      <c r="A165" s="56" t="s">
        <v>218</v>
      </c>
      <c r="B165" s="57">
        <f t="shared" si="26"/>
        <v>131</v>
      </c>
      <c r="C165" s="58">
        <v>7010</v>
      </c>
      <c r="D165" s="272">
        <v>54592.9</v>
      </c>
      <c r="E165" s="271">
        <v>52198.3</v>
      </c>
      <c r="F165" s="239"/>
      <c r="G165" s="271"/>
      <c r="H165" s="271"/>
      <c r="I165" s="271"/>
      <c r="J165" s="271"/>
      <c r="K165" s="207"/>
    </row>
    <row r="166" spans="1:11" s="60" customFormat="1" ht="18.75" x14ac:dyDescent="0.2">
      <c r="A166" s="61" t="s">
        <v>219</v>
      </c>
      <c r="B166" s="62">
        <f t="shared" si="26"/>
        <v>132</v>
      </c>
      <c r="C166" s="63">
        <v>7020</v>
      </c>
      <c r="D166" s="272">
        <v>15488</v>
      </c>
      <c r="E166" s="268">
        <v>17220.3</v>
      </c>
      <c r="F166" s="225"/>
      <c r="G166" s="268"/>
      <c r="H166" s="268"/>
      <c r="I166" s="268"/>
      <c r="J166" s="268"/>
      <c r="K166" s="209"/>
    </row>
    <row r="167" spans="1:11" s="60" customFormat="1" ht="18.75" x14ac:dyDescent="0.2">
      <c r="A167" s="61" t="s">
        <v>220</v>
      </c>
      <c r="B167" s="62">
        <f t="shared" si="26"/>
        <v>133</v>
      </c>
      <c r="C167" s="63">
        <v>7030</v>
      </c>
      <c r="D167" s="316">
        <f t="shared" ref="D167:J167" si="27">SUM(D165:D166)</f>
        <v>70080.899999999994</v>
      </c>
      <c r="E167" s="266">
        <f t="shared" si="27"/>
        <v>69418.600000000006</v>
      </c>
      <c r="F167" s="224">
        <f t="shared" si="27"/>
        <v>0</v>
      </c>
      <c r="G167" s="266">
        <f t="shared" si="27"/>
        <v>0</v>
      </c>
      <c r="H167" s="266">
        <f t="shared" si="27"/>
        <v>0</v>
      </c>
      <c r="I167" s="266">
        <f t="shared" si="27"/>
        <v>0</v>
      </c>
      <c r="J167" s="266">
        <f t="shared" si="27"/>
        <v>0</v>
      </c>
      <c r="K167" s="209"/>
    </row>
    <row r="168" spans="1:11" s="60" customFormat="1" ht="18.75" x14ac:dyDescent="0.2">
      <c r="A168" s="61" t="s">
        <v>221</v>
      </c>
      <c r="B168" s="62">
        <f t="shared" si="26"/>
        <v>134</v>
      </c>
      <c r="C168" s="63">
        <v>7040</v>
      </c>
      <c r="D168" s="274">
        <v>104.9</v>
      </c>
      <c r="E168" s="326"/>
      <c r="F168" s="225"/>
      <c r="G168" s="268"/>
      <c r="H168" s="266"/>
      <c r="I168" s="268"/>
      <c r="J168" s="268"/>
      <c r="K168" s="209"/>
    </row>
    <row r="169" spans="1:11" s="60" customFormat="1" ht="18.75" x14ac:dyDescent="0.2">
      <c r="A169" s="92" t="s">
        <v>222</v>
      </c>
      <c r="B169" s="93">
        <f t="shared" si="26"/>
        <v>135</v>
      </c>
      <c r="C169" s="94">
        <v>7050</v>
      </c>
      <c r="D169" s="274">
        <v>10.9</v>
      </c>
      <c r="E169" s="274"/>
      <c r="F169" s="235"/>
      <c r="G169" s="275"/>
      <c r="H169" s="276"/>
      <c r="I169" s="275"/>
      <c r="J169" s="275"/>
      <c r="K169" s="219"/>
    </row>
    <row r="170" spans="1:11" s="60" customFormat="1" ht="18.75" x14ac:dyDescent="0.2">
      <c r="A170" s="9"/>
      <c r="B170" s="34"/>
      <c r="C170" s="7"/>
      <c r="D170" s="383"/>
      <c r="E170" s="383"/>
      <c r="F170" s="383"/>
      <c r="G170" s="95"/>
      <c r="H170" s="384"/>
      <c r="I170" s="384"/>
      <c r="J170" s="384"/>
      <c r="K170" s="5"/>
    </row>
    <row r="171" spans="1:11" s="60" customFormat="1" ht="20.25" x14ac:dyDescent="0.2">
      <c r="A171" s="190" t="s">
        <v>268</v>
      </c>
      <c r="B171" s="97"/>
      <c r="C171" s="98"/>
      <c r="D171" s="374"/>
      <c r="E171" s="374"/>
      <c r="F171" s="374"/>
      <c r="G171" s="99"/>
      <c r="H171" s="375" t="s">
        <v>291</v>
      </c>
      <c r="I171" s="375"/>
      <c r="J171" s="375"/>
      <c r="K171" s="100"/>
    </row>
    <row r="172" spans="1:11" x14ac:dyDescent="0.25">
      <c r="A172" s="96"/>
      <c r="B172" s="101"/>
      <c r="C172" s="102"/>
      <c r="D172" s="103"/>
      <c r="E172" s="104"/>
      <c r="F172" s="104"/>
      <c r="G172" s="104"/>
      <c r="H172" s="369" t="s">
        <v>223</v>
      </c>
      <c r="I172" s="369"/>
      <c r="J172" s="369"/>
    </row>
    <row r="173" spans="1:11" x14ac:dyDescent="0.2">
      <c r="A173" s="96"/>
      <c r="B173" s="101"/>
      <c r="D173" s="103"/>
      <c r="E173" s="104"/>
      <c r="F173" s="104"/>
      <c r="G173" s="104"/>
      <c r="H173" s="104"/>
      <c r="I173" s="104"/>
      <c r="J173" s="104"/>
    </row>
    <row r="174" spans="1:11" x14ac:dyDescent="0.2">
      <c r="A174" s="96"/>
      <c r="B174" s="101"/>
      <c r="D174" s="103"/>
      <c r="E174" s="104"/>
      <c r="F174" s="104"/>
      <c r="G174" s="104"/>
      <c r="H174"/>
      <c r="I174"/>
      <c r="J174"/>
    </row>
    <row r="175" spans="1:11" x14ac:dyDescent="0.2">
      <c r="A175" s="96" t="s">
        <v>224</v>
      </c>
      <c r="B175" s="101"/>
      <c r="D175" s="103"/>
      <c r="E175" s="104"/>
      <c r="F175" s="104"/>
      <c r="G175" s="104"/>
      <c r="H175" s="375" t="s">
        <v>292</v>
      </c>
      <c r="I175" s="375"/>
      <c r="J175" s="375"/>
    </row>
    <row r="176" spans="1:11" x14ac:dyDescent="0.2">
      <c r="A176" s="105"/>
      <c r="B176" s="101"/>
      <c r="D176" s="103"/>
      <c r="E176" s="104"/>
      <c r="F176" s="104"/>
      <c r="G176" s="104"/>
      <c r="H176" s="369" t="s">
        <v>223</v>
      </c>
      <c r="I176" s="369"/>
      <c r="J176" s="369"/>
    </row>
    <row r="177" spans="1:10" x14ac:dyDescent="0.2">
      <c r="A177" s="105"/>
      <c r="B177" s="101"/>
      <c r="D177" s="103"/>
      <c r="E177" s="104"/>
      <c r="F177" s="104"/>
      <c r="G177" s="104"/>
      <c r="H177" s="104"/>
      <c r="I177" s="104"/>
      <c r="J177" s="104"/>
    </row>
    <row r="178" spans="1:10" x14ac:dyDescent="0.2">
      <c r="A178" s="105"/>
      <c r="B178" s="101"/>
      <c r="D178" s="103"/>
      <c r="E178" s="104"/>
      <c r="F178" s="104"/>
      <c r="G178" s="104"/>
      <c r="H178" s="104"/>
      <c r="I178" s="104"/>
      <c r="J178" s="104"/>
    </row>
    <row r="179" spans="1:10" x14ac:dyDescent="0.2">
      <c r="A179" s="105"/>
      <c r="B179" s="101"/>
      <c r="D179" s="103"/>
      <c r="E179" s="104"/>
      <c r="F179" s="104"/>
      <c r="G179" s="104"/>
      <c r="H179" s="104"/>
      <c r="I179" s="104"/>
      <c r="J179" s="104"/>
    </row>
    <row r="180" spans="1:10" x14ac:dyDescent="0.2">
      <c r="A180" s="105"/>
      <c r="B180" s="101"/>
      <c r="D180" s="103"/>
      <c r="E180" s="104"/>
      <c r="F180" s="104"/>
      <c r="G180" s="104"/>
      <c r="H180" s="104"/>
      <c r="I180" s="104"/>
      <c r="J180" s="104"/>
    </row>
    <row r="181" spans="1:10" x14ac:dyDescent="0.2">
      <c r="A181" s="105"/>
      <c r="B181" s="101"/>
      <c r="D181" s="103"/>
      <c r="E181" s="104"/>
      <c r="F181" s="104"/>
      <c r="G181" s="104"/>
      <c r="H181" s="104"/>
      <c r="I181" s="104"/>
      <c r="J181" s="104"/>
    </row>
    <row r="182" spans="1:10" x14ac:dyDescent="0.2">
      <c r="A182" s="105"/>
      <c r="B182" s="101"/>
      <c r="D182" s="103"/>
      <c r="E182" s="104"/>
      <c r="F182" s="104"/>
      <c r="G182" s="104"/>
      <c r="H182" s="104"/>
      <c r="I182" s="104"/>
      <c r="J182" s="104"/>
    </row>
    <row r="183" spans="1:10" x14ac:dyDescent="0.2">
      <c r="A183" s="105"/>
      <c r="B183" s="101"/>
      <c r="D183" s="103"/>
      <c r="E183" s="104"/>
      <c r="F183" s="104"/>
      <c r="G183" s="104"/>
      <c r="H183" s="104"/>
      <c r="I183" s="104"/>
      <c r="J183" s="104"/>
    </row>
    <row r="184" spans="1:10" x14ac:dyDescent="0.2">
      <c r="A184" s="105"/>
      <c r="B184" s="101"/>
      <c r="D184" s="103"/>
      <c r="E184" s="104"/>
      <c r="F184" s="104"/>
      <c r="G184" s="104"/>
      <c r="H184" s="104"/>
      <c r="I184" s="104"/>
      <c r="J184" s="104"/>
    </row>
    <row r="185" spans="1:10" x14ac:dyDescent="0.2">
      <c r="A185" s="105"/>
      <c r="B185" s="101"/>
      <c r="D185" s="103"/>
      <c r="E185" s="104"/>
      <c r="F185" s="104"/>
      <c r="G185" s="104"/>
      <c r="H185" s="104"/>
      <c r="I185" s="104"/>
      <c r="J185" s="104"/>
    </row>
    <row r="186" spans="1:10" x14ac:dyDescent="0.2">
      <c r="A186" s="105"/>
      <c r="B186" s="101"/>
      <c r="D186" s="103"/>
      <c r="E186" s="104"/>
      <c r="F186" s="104"/>
      <c r="G186" s="104"/>
      <c r="H186" s="104"/>
      <c r="I186" s="104"/>
      <c r="J186" s="104"/>
    </row>
    <row r="187" spans="1:10" x14ac:dyDescent="0.2">
      <c r="A187" s="105"/>
      <c r="B187" s="101"/>
      <c r="D187" s="103"/>
      <c r="E187" s="104"/>
      <c r="F187" s="104"/>
      <c r="G187" s="104"/>
      <c r="H187" s="104"/>
      <c r="I187" s="104"/>
      <c r="J187" s="104"/>
    </row>
    <row r="188" spans="1:10" x14ac:dyDescent="0.2">
      <c r="A188" s="105"/>
      <c r="B188" s="101"/>
      <c r="D188" s="103"/>
      <c r="E188" s="104"/>
      <c r="F188" s="104"/>
      <c r="G188" s="104"/>
      <c r="H188" s="104"/>
      <c r="I188" s="104"/>
      <c r="J188" s="104"/>
    </row>
    <row r="189" spans="1:10" x14ac:dyDescent="0.2">
      <c r="A189" s="105"/>
      <c r="B189" s="101"/>
      <c r="D189" s="103"/>
      <c r="E189" s="104"/>
      <c r="F189" s="104"/>
      <c r="G189" s="104"/>
      <c r="H189" s="104"/>
      <c r="I189" s="104"/>
      <c r="J189" s="104"/>
    </row>
    <row r="190" spans="1:10" x14ac:dyDescent="0.2">
      <c r="A190" s="105"/>
      <c r="B190" s="101"/>
      <c r="D190" s="103"/>
      <c r="E190" s="104"/>
      <c r="F190" s="104"/>
      <c r="G190" s="104"/>
      <c r="H190" s="104"/>
      <c r="I190" s="104"/>
      <c r="J190" s="104"/>
    </row>
    <row r="191" spans="1:10" x14ac:dyDescent="0.2">
      <c r="A191" s="105"/>
      <c r="B191" s="101"/>
      <c r="D191" s="103"/>
      <c r="E191" s="104"/>
      <c r="F191" s="104"/>
      <c r="G191" s="104"/>
      <c r="H191" s="104"/>
      <c r="I191" s="104"/>
      <c r="J191" s="104"/>
    </row>
    <row r="192" spans="1:10" x14ac:dyDescent="0.2">
      <c r="A192" s="105"/>
      <c r="B192" s="101"/>
      <c r="D192" s="103"/>
      <c r="E192" s="104"/>
      <c r="F192" s="104"/>
      <c r="G192" s="104"/>
      <c r="H192" s="104"/>
      <c r="I192" s="104"/>
      <c r="J192" s="104"/>
    </row>
    <row r="193" spans="1:10" x14ac:dyDescent="0.2">
      <c r="A193" s="105"/>
      <c r="B193" s="101"/>
      <c r="D193" s="103"/>
      <c r="E193" s="104"/>
      <c r="F193" s="104"/>
      <c r="G193" s="104"/>
      <c r="H193" s="104"/>
      <c r="I193" s="104"/>
      <c r="J193" s="104"/>
    </row>
    <row r="194" spans="1:10" x14ac:dyDescent="0.2">
      <c r="A194" s="105"/>
      <c r="B194" s="101"/>
      <c r="D194" s="103"/>
      <c r="E194" s="104"/>
      <c r="F194" s="104"/>
      <c r="G194" s="104"/>
      <c r="H194" s="104"/>
      <c r="I194" s="104"/>
      <c r="J194" s="104"/>
    </row>
    <row r="195" spans="1:10" x14ac:dyDescent="0.2">
      <c r="A195" s="105"/>
      <c r="B195" s="101"/>
      <c r="D195" s="103"/>
      <c r="E195" s="104"/>
      <c r="F195" s="104"/>
      <c r="G195" s="104"/>
      <c r="H195" s="104"/>
      <c r="I195" s="104"/>
      <c r="J195" s="104"/>
    </row>
    <row r="196" spans="1:10" x14ac:dyDescent="0.2">
      <c r="A196" s="105"/>
      <c r="B196" s="101"/>
      <c r="D196" s="103"/>
      <c r="E196" s="104"/>
      <c r="F196" s="104"/>
      <c r="G196" s="104"/>
      <c r="H196" s="104"/>
      <c r="I196" s="104"/>
      <c r="J196" s="104"/>
    </row>
    <row r="197" spans="1:10" x14ac:dyDescent="0.2">
      <c r="A197" s="105"/>
      <c r="B197" s="101"/>
      <c r="D197" s="103"/>
      <c r="E197" s="104"/>
      <c r="F197" s="104"/>
      <c r="G197" s="104"/>
      <c r="H197" s="104"/>
      <c r="I197" s="104"/>
      <c r="J197" s="104"/>
    </row>
    <row r="198" spans="1:10" x14ac:dyDescent="0.2">
      <c r="A198" s="105"/>
      <c r="B198" s="101"/>
      <c r="D198" s="103"/>
      <c r="E198" s="104"/>
      <c r="F198" s="104"/>
      <c r="G198" s="104"/>
      <c r="H198" s="104"/>
      <c r="I198" s="104"/>
      <c r="J198" s="104"/>
    </row>
    <row r="199" spans="1:10" x14ac:dyDescent="0.2">
      <c r="A199" s="105"/>
      <c r="B199" s="101"/>
      <c r="D199" s="103"/>
      <c r="E199" s="104"/>
      <c r="F199" s="104"/>
      <c r="G199" s="104"/>
      <c r="H199" s="104"/>
      <c r="I199" s="104"/>
      <c r="J199" s="104"/>
    </row>
    <row r="200" spans="1:10" x14ac:dyDescent="0.2">
      <c r="A200" s="105"/>
      <c r="B200" s="101"/>
      <c r="D200" s="103"/>
      <c r="E200" s="104"/>
      <c r="F200" s="104"/>
      <c r="G200" s="104"/>
      <c r="H200" s="104"/>
      <c r="I200" s="104"/>
      <c r="J200" s="104"/>
    </row>
    <row r="201" spans="1:10" x14ac:dyDescent="0.2">
      <c r="A201" s="105"/>
      <c r="B201" s="101"/>
      <c r="D201" s="103"/>
      <c r="E201" s="104"/>
      <c r="F201" s="104"/>
      <c r="G201" s="104"/>
      <c r="H201" s="104"/>
      <c r="I201" s="104"/>
      <c r="J201" s="104"/>
    </row>
    <row r="202" spans="1:10" x14ac:dyDescent="0.2">
      <c r="A202" s="105"/>
      <c r="B202" s="101"/>
      <c r="D202" s="103"/>
      <c r="E202" s="104"/>
      <c r="F202" s="104"/>
      <c r="G202" s="104"/>
      <c r="H202" s="104"/>
      <c r="I202" s="104"/>
      <c r="J202" s="104"/>
    </row>
    <row r="203" spans="1:10" x14ac:dyDescent="0.2">
      <c r="A203" s="105"/>
      <c r="B203" s="101"/>
      <c r="D203" s="103"/>
      <c r="E203" s="104"/>
      <c r="F203" s="104"/>
      <c r="G203" s="104"/>
      <c r="H203" s="104"/>
      <c r="I203" s="104"/>
      <c r="J203" s="104"/>
    </row>
    <row r="204" spans="1:10" x14ac:dyDescent="0.2">
      <c r="A204" s="105"/>
      <c r="B204" s="101"/>
      <c r="D204" s="103"/>
      <c r="E204" s="104"/>
      <c r="F204" s="104"/>
      <c r="G204" s="104"/>
      <c r="H204" s="104"/>
      <c r="I204" s="104"/>
      <c r="J204" s="104"/>
    </row>
    <row r="205" spans="1:10" x14ac:dyDescent="0.2">
      <c r="A205" s="105"/>
      <c r="B205" s="101"/>
      <c r="D205" s="103"/>
      <c r="E205" s="104"/>
      <c r="F205" s="104"/>
      <c r="G205" s="104"/>
      <c r="H205" s="104"/>
      <c r="I205" s="104"/>
      <c r="J205" s="104"/>
    </row>
    <row r="206" spans="1:10" x14ac:dyDescent="0.2">
      <c r="A206" s="105"/>
      <c r="B206" s="101"/>
      <c r="D206" s="103"/>
      <c r="E206" s="104"/>
      <c r="F206" s="104"/>
      <c r="G206" s="104"/>
      <c r="H206" s="104"/>
      <c r="I206" s="104"/>
      <c r="J206" s="104"/>
    </row>
    <row r="207" spans="1:10" x14ac:dyDescent="0.2">
      <c r="A207" s="105"/>
      <c r="B207" s="101"/>
      <c r="D207" s="103"/>
      <c r="E207" s="104"/>
      <c r="F207" s="104"/>
      <c r="G207" s="104"/>
      <c r="H207" s="104"/>
      <c r="I207" s="104"/>
      <c r="J207" s="104"/>
    </row>
    <row r="208" spans="1:10" x14ac:dyDescent="0.2">
      <c r="A208" s="105"/>
      <c r="B208" s="101"/>
      <c r="D208" s="103"/>
      <c r="E208" s="104"/>
      <c r="F208" s="104"/>
      <c r="G208" s="104"/>
      <c r="H208" s="104"/>
      <c r="I208" s="104"/>
      <c r="J208" s="104"/>
    </row>
    <row r="209" spans="1:10" x14ac:dyDescent="0.2">
      <c r="A209" s="105"/>
      <c r="B209" s="101"/>
      <c r="D209" s="103"/>
      <c r="E209" s="104"/>
      <c r="F209" s="104"/>
      <c r="G209" s="104"/>
      <c r="H209" s="104"/>
      <c r="I209" s="104"/>
      <c r="J209" s="104"/>
    </row>
    <row r="210" spans="1:10" x14ac:dyDescent="0.2">
      <c r="A210" s="105"/>
      <c r="B210" s="101"/>
      <c r="D210" s="103"/>
      <c r="E210" s="104"/>
      <c r="F210" s="104"/>
      <c r="G210" s="104"/>
      <c r="H210" s="104"/>
      <c r="I210" s="104"/>
      <c r="J210" s="104"/>
    </row>
    <row r="211" spans="1:10" x14ac:dyDescent="0.2">
      <c r="A211" s="105"/>
      <c r="B211" s="101"/>
      <c r="D211" s="103"/>
      <c r="E211" s="104"/>
      <c r="F211" s="104"/>
      <c r="G211" s="104"/>
      <c r="H211" s="104"/>
      <c r="I211" s="104"/>
      <c r="J211" s="104"/>
    </row>
    <row r="212" spans="1:10" x14ac:dyDescent="0.2">
      <c r="A212" s="106"/>
      <c r="B212" s="101"/>
    </row>
    <row r="213" spans="1:10" x14ac:dyDescent="0.2">
      <c r="A213" s="106"/>
      <c r="B213" s="101"/>
    </row>
    <row r="214" spans="1:10" x14ac:dyDescent="0.2">
      <c r="A214" s="106"/>
      <c r="B214" s="101"/>
    </row>
    <row r="215" spans="1:10" x14ac:dyDescent="0.2">
      <c r="A215" s="106"/>
      <c r="B215" s="101"/>
    </row>
    <row r="216" spans="1:10" x14ac:dyDescent="0.2">
      <c r="A216" s="106"/>
      <c r="B216" s="101"/>
    </row>
    <row r="217" spans="1:10" x14ac:dyDescent="0.2">
      <c r="A217" s="106"/>
      <c r="B217" s="101"/>
    </row>
    <row r="218" spans="1:10" x14ac:dyDescent="0.2">
      <c r="A218" s="106"/>
      <c r="B218" s="101"/>
    </row>
    <row r="219" spans="1:10" x14ac:dyDescent="0.2">
      <c r="A219" s="106"/>
      <c r="B219" s="101"/>
    </row>
    <row r="220" spans="1:10" x14ac:dyDescent="0.2">
      <c r="A220" s="106"/>
      <c r="B220" s="101"/>
    </row>
    <row r="221" spans="1:10" x14ac:dyDescent="0.2">
      <c r="A221" s="106"/>
      <c r="B221" s="101"/>
    </row>
    <row r="222" spans="1:10" x14ac:dyDescent="0.2">
      <c r="A222" s="106"/>
      <c r="B222" s="101"/>
    </row>
    <row r="223" spans="1:10" x14ac:dyDescent="0.2">
      <c r="A223" s="106"/>
      <c r="B223" s="101"/>
    </row>
    <row r="224" spans="1:10" x14ac:dyDescent="0.2">
      <c r="A224" s="106"/>
      <c r="B224" s="101"/>
    </row>
    <row r="225" spans="1:2" x14ac:dyDescent="0.2">
      <c r="A225" s="106"/>
      <c r="B225" s="101"/>
    </row>
    <row r="226" spans="1:2" x14ac:dyDescent="0.2">
      <c r="A226" s="106"/>
      <c r="B226" s="101"/>
    </row>
    <row r="227" spans="1:2" x14ac:dyDescent="0.2">
      <c r="A227" s="106"/>
      <c r="B227" s="101"/>
    </row>
    <row r="228" spans="1:2" x14ac:dyDescent="0.2">
      <c r="A228" s="106"/>
      <c r="B228" s="101"/>
    </row>
    <row r="229" spans="1:2" x14ac:dyDescent="0.2">
      <c r="A229" s="106"/>
      <c r="B229" s="101"/>
    </row>
    <row r="230" spans="1:2" x14ac:dyDescent="0.2">
      <c r="A230" s="106"/>
      <c r="B230" s="101"/>
    </row>
    <row r="231" spans="1:2" x14ac:dyDescent="0.2">
      <c r="A231" s="106"/>
      <c r="B231" s="101"/>
    </row>
    <row r="232" spans="1:2" x14ac:dyDescent="0.2">
      <c r="A232" s="106"/>
      <c r="B232" s="101"/>
    </row>
    <row r="233" spans="1:2" x14ac:dyDescent="0.2">
      <c r="A233" s="106"/>
      <c r="B233" s="101"/>
    </row>
    <row r="234" spans="1:2" x14ac:dyDescent="0.2">
      <c r="A234" s="106"/>
      <c r="B234" s="101"/>
    </row>
    <row r="235" spans="1:2" x14ac:dyDescent="0.2">
      <c r="A235" s="106"/>
      <c r="B235" s="101"/>
    </row>
    <row r="236" spans="1:2" x14ac:dyDescent="0.2">
      <c r="A236" s="106"/>
      <c r="B236" s="101"/>
    </row>
    <row r="237" spans="1:2" x14ac:dyDescent="0.2">
      <c r="A237" s="106"/>
      <c r="B237" s="101"/>
    </row>
    <row r="238" spans="1:2" x14ac:dyDescent="0.2">
      <c r="A238" s="106"/>
      <c r="B238" s="101"/>
    </row>
    <row r="239" spans="1:2" x14ac:dyDescent="0.2">
      <c r="A239" s="106"/>
      <c r="B239" s="101"/>
    </row>
    <row r="240" spans="1:2" x14ac:dyDescent="0.2">
      <c r="A240" s="106"/>
      <c r="B240" s="101"/>
    </row>
    <row r="241" spans="1:2" x14ac:dyDescent="0.2">
      <c r="A241" s="106"/>
      <c r="B241" s="101"/>
    </row>
    <row r="242" spans="1:2" x14ac:dyDescent="0.2">
      <c r="A242" s="106"/>
      <c r="B242" s="101"/>
    </row>
    <row r="243" spans="1:2" x14ac:dyDescent="0.2">
      <c r="A243" s="106"/>
      <c r="B243" s="101"/>
    </row>
    <row r="244" spans="1:2" x14ac:dyDescent="0.2">
      <c r="A244" s="106"/>
      <c r="B244" s="101"/>
    </row>
    <row r="245" spans="1:2" x14ac:dyDescent="0.2">
      <c r="A245" s="106"/>
      <c r="B245" s="101"/>
    </row>
    <row r="246" spans="1:2" x14ac:dyDescent="0.2">
      <c r="A246" s="106"/>
      <c r="B246" s="101"/>
    </row>
    <row r="247" spans="1:2" x14ac:dyDescent="0.2">
      <c r="A247" s="106"/>
      <c r="B247" s="101"/>
    </row>
    <row r="248" spans="1:2" x14ac:dyDescent="0.2">
      <c r="A248" s="106"/>
      <c r="B248" s="101"/>
    </row>
    <row r="249" spans="1:2" x14ac:dyDescent="0.2">
      <c r="A249" s="106"/>
      <c r="B249" s="101"/>
    </row>
    <row r="250" spans="1:2" x14ac:dyDescent="0.2">
      <c r="A250" s="106"/>
      <c r="B250" s="101"/>
    </row>
    <row r="251" spans="1:2" x14ac:dyDescent="0.2">
      <c r="A251" s="106"/>
      <c r="B251" s="101"/>
    </row>
    <row r="252" spans="1:2" x14ac:dyDescent="0.2">
      <c r="A252" s="106"/>
      <c r="B252" s="101"/>
    </row>
    <row r="253" spans="1:2" x14ac:dyDescent="0.2">
      <c r="A253" s="106"/>
      <c r="B253" s="101"/>
    </row>
    <row r="254" spans="1:2" x14ac:dyDescent="0.2">
      <c r="A254" s="106"/>
      <c r="B254" s="101"/>
    </row>
    <row r="255" spans="1:2" x14ac:dyDescent="0.2">
      <c r="A255" s="106"/>
      <c r="B255" s="101"/>
    </row>
    <row r="256" spans="1:2" x14ac:dyDescent="0.2">
      <c r="A256" s="106"/>
      <c r="B256" s="101"/>
    </row>
    <row r="257" spans="1:2" x14ac:dyDescent="0.2">
      <c r="A257" s="106"/>
      <c r="B257" s="101"/>
    </row>
    <row r="258" spans="1:2" x14ac:dyDescent="0.2">
      <c r="A258" s="106"/>
      <c r="B258" s="101"/>
    </row>
    <row r="259" spans="1:2" x14ac:dyDescent="0.2">
      <c r="A259" s="106"/>
      <c r="B259" s="101"/>
    </row>
    <row r="260" spans="1:2" x14ac:dyDescent="0.2">
      <c r="A260" s="106"/>
      <c r="B260" s="101"/>
    </row>
    <row r="261" spans="1:2" x14ac:dyDescent="0.2">
      <c r="A261" s="106"/>
      <c r="B261" s="101"/>
    </row>
    <row r="262" spans="1:2" x14ac:dyDescent="0.2">
      <c r="A262" s="106"/>
      <c r="B262" s="101"/>
    </row>
    <row r="263" spans="1:2" x14ac:dyDescent="0.2">
      <c r="A263" s="106"/>
      <c r="B263" s="101"/>
    </row>
    <row r="264" spans="1:2" x14ac:dyDescent="0.2">
      <c r="A264" s="106"/>
      <c r="B264" s="101"/>
    </row>
    <row r="265" spans="1:2" x14ac:dyDescent="0.2">
      <c r="A265" s="106"/>
      <c r="B265" s="101"/>
    </row>
    <row r="266" spans="1:2" x14ac:dyDescent="0.2">
      <c r="A266" s="106"/>
      <c r="B266" s="101"/>
    </row>
    <row r="267" spans="1:2" x14ac:dyDescent="0.2">
      <c r="A267" s="106"/>
      <c r="B267" s="101"/>
    </row>
    <row r="268" spans="1:2" x14ac:dyDescent="0.2">
      <c r="A268" s="106"/>
      <c r="B268" s="101"/>
    </row>
    <row r="269" spans="1:2" x14ac:dyDescent="0.2">
      <c r="A269" s="106"/>
      <c r="B269" s="101"/>
    </row>
    <row r="270" spans="1:2" x14ac:dyDescent="0.2">
      <c r="A270" s="106"/>
      <c r="B270" s="101"/>
    </row>
    <row r="271" spans="1:2" x14ac:dyDescent="0.2">
      <c r="A271" s="106"/>
      <c r="B271" s="101"/>
    </row>
    <row r="272" spans="1:2" x14ac:dyDescent="0.2">
      <c r="A272" s="106"/>
      <c r="B272" s="101"/>
    </row>
    <row r="273" spans="1:2" x14ac:dyDescent="0.2">
      <c r="A273" s="106"/>
      <c r="B273" s="101"/>
    </row>
    <row r="274" spans="1:2" x14ac:dyDescent="0.2">
      <c r="A274" s="106"/>
      <c r="B274" s="101"/>
    </row>
    <row r="275" spans="1:2" x14ac:dyDescent="0.2">
      <c r="A275" s="106"/>
      <c r="B275" s="101"/>
    </row>
    <row r="276" spans="1:2" x14ac:dyDescent="0.2">
      <c r="A276" s="106"/>
      <c r="B276" s="101"/>
    </row>
    <row r="277" spans="1:2" x14ac:dyDescent="0.2">
      <c r="A277" s="106"/>
      <c r="B277" s="101"/>
    </row>
    <row r="278" spans="1:2" x14ac:dyDescent="0.2">
      <c r="A278" s="106"/>
      <c r="B278" s="101"/>
    </row>
    <row r="279" spans="1:2" x14ac:dyDescent="0.2">
      <c r="A279" s="106"/>
      <c r="B279" s="101"/>
    </row>
    <row r="280" spans="1:2" x14ac:dyDescent="0.2">
      <c r="A280" s="106"/>
      <c r="B280" s="101"/>
    </row>
    <row r="281" spans="1:2" x14ac:dyDescent="0.2">
      <c r="A281" s="106"/>
      <c r="B281" s="101"/>
    </row>
    <row r="282" spans="1:2" x14ac:dyDescent="0.2">
      <c r="A282" s="106"/>
      <c r="B282" s="101"/>
    </row>
    <row r="283" spans="1:2" x14ac:dyDescent="0.2">
      <c r="A283" s="106"/>
      <c r="B283" s="101"/>
    </row>
    <row r="284" spans="1:2" x14ac:dyDescent="0.2">
      <c r="A284" s="106"/>
      <c r="B284" s="101"/>
    </row>
    <row r="285" spans="1:2" x14ac:dyDescent="0.2">
      <c r="A285" s="106"/>
      <c r="B285" s="101"/>
    </row>
    <row r="286" spans="1:2" x14ac:dyDescent="0.2">
      <c r="A286" s="106"/>
      <c r="B286" s="101"/>
    </row>
    <row r="287" spans="1:2" x14ac:dyDescent="0.2">
      <c r="A287" s="106"/>
      <c r="B287" s="101"/>
    </row>
    <row r="288" spans="1:2" x14ac:dyDescent="0.2">
      <c r="A288" s="106"/>
      <c r="B288" s="101"/>
    </row>
    <row r="289" spans="1:2" x14ac:dyDescent="0.2">
      <c r="A289" s="106"/>
      <c r="B289" s="101"/>
    </row>
    <row r="290" spans="1:2" x14ac:dyDescent="0.2">
      <c r="A290" s="106"/>
      <c r="B290" s="101"/>
    </row>
    <row r="291" spans="1:2" x14ac:dyDescent="0.2">
      <c r="A291" s="106"/>
      <c r="B291" s="101"/>
    </row>
    <row r="292" spans="1:2" x14ac:dyDescent="0.2">
      <c r="A292" s="106"/>
      <c r="B292" s="101"/>
    </row>
    <row r="293" spans="1:2" x14ac:dyDescent="0.2">
      <c r="A293" s="106"/>
      <c r="B293" s="101"/>
    </row>
    <row r="294" spans="1:2" x14ac:dyDescent="0.2">
      <c r="A294" s="106"/>
      <c r="B294" s="101"/>
    </row>
    <row r="295" spans="1:2" x14ac:dyDescent="0.2">
      <c r="A295" s="106"/>
      <c r="B295" s="101"/>
    </row>
    <row r="296" spans="1:2" x14ac:dyDescent="0.2">
      <c r="A296" s="106"/>
      <c r="B296" s="101"/>
    </row>
    <row r="297" spans="1:2" x14ac:dyDescent="0.2">
      <c r="A297" s="106"/>
      <c r="B297" s="101"/>
    </row>
    <row r="298" spans="1:2" x14ac:dyDescent="0.2">
      <c r="A298" s="106"/>
      <c r="B298" s="101"/>
    </row>
    <row r="299" spans="1:2" x14ac:dyDescent="0.2">
      <c r="A299" s="106"/>
      <c r="B299" s="101"/>
    </row>
    <row r="300" spans="1:2" x14ac:dyDescent="0.2">
      <c r="A300" s="106"/>
      <c r="B300" s="101"/>
    </row>
    <row r="301" spans="1:2" x14ac:dyDescent="0.2">
      <c r="A301" s="106"/>
      <c r="B301" s="101"/>
    </row>
    <row r="302" spans="1:2" x14ac:dyDescent="0.2">
      <c r="A302" s="106"/>
      <c r="B302" s="101"/>
    </row>
    <row r="303" spans="1:2" x14ac:dyDescent="0.2">
      <c r="A303" s="106"/>
      <c r="B303" s="101"/>
    </row>
  </sheetData>
  <sheetProtection selectLockedCells="1" selectUnlockedCells="1"/>
  <mergeCells count="48">
    <mergeCell ref="B16:H16"/>
    <mergeCell ref="I16:J16"/>
    <mergeCell ref="D8:F8"/>
    <mergeCell ref="I7:J7"/>
    <mergeCell ref="I8:J8"/>
    <mergeCell ref="I9:J9"/>
    <mergeCell ref="I10:J10"/>
    <mergeCell ref="I11:J11"/>
    <mergeCell ref="I13:J13"/>
    <mergeCell ref="B14:H14"/>
    <mergeCell ref="I14:K14"/>
    <mergeCell ref="B15:H15"/>
    <mergeCell ref="I15:J15"/>
    <mergeCell ref="B26:H26"/>
    <mergeCell ref="B17:H17"/>
    <mergeCell ref="I17:J17"/>
    <mergeCell ref="B18:H18"/>
    <mergeCell ref="I18:J18"/>
    <mergeCell ref="B19:H19"/>
    <mergeCell ref="I19:J19"/>
    <mergeCell ref="K30:K31"/>
    <mergeCell ref="D2:E2"/>
    <mergeCell ref="D4:H4"/>
    <mergeCell ref="D5:I5"/>
    <mergeCell ref="H175:J175"/>
    <mergeCell ref="D170:F170"/>
    <mergeCell ref="H170:J170"/>
    <mergeCell ref="B20:H20"/>
    <mergeCell ref="I20:J20"/>
    <mergeCell ref="B21:H21"/>
    <mergeCell ref="B22:H22"/>
    <mergeCell ref="B23:H23"/>
    <mergeCell ref="I23:J23"/>
    <mergeCell ref="B24:H24"/>
    <mergeCell ref="I24:J24"/>
    <mergeCell ref="B25:H25"/>
    <mergeCell ref="H176:J176"/>
    <mergeCell ref="A28:J28"/>
    <mergeCell ref="A30:A31"/>
    <mergeCell ref="B30:B31"/>
    <mergeCell ref="C30:C31"/>
    <mergeCell ref="D171:F171"/>
    <mergeCell ref="H171:J171"/>
    <mergeCell ref="H172:J172"/>
    <mergeCell ref="D30:D31"/>
    <mergeCell ref="E30:E31"/>
    <mergeCell ref="F30:F31"/>
    <mergeCell ref="G30:J30"/>
  </mergeCells>
  <printOptions horizontalCentered="1"/>
  <pageMargins left="0.39370078740157483" right="0.23622047244094491" top="0.19685039370078741" bottom="0.19685039370078741" header="0.31496062992125984" footer="0.31496062992125984"/>
  <pageSetup paperSize="9" scale="55" firstPageNumber="0" orientation="landscape" r:id="rId1"/>
  <headerFooter alignWithMargins="0"/>
  <rowBreaks count="3" manualBreakCount="3">
    <brk id="49" max="10" man="1"/>
    <brk id="93" max="10" man="1"/>
    <brk id="135" max="10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272"/>
  <sheetViews>
    <sheetView topLeftCell="A28" zoomScale="70" zoomScaleNormal="70" workbookViewId="0">
      <pane xSplit="2" ySplit="6" topLeftCell="C34" activePane="bottomRight" state="frozenSplit"/>
      <selection activeCell="A28" sqref="A28"/>
      <selection pane="topRight" activeCell="C28" sqref="C28"/>
      <selection pane="bottomLeft" activeCell="A34" sqref="A34"/>
      <selection pane="bottomRight" activeCell="D72" sqref="D72"/>
    </sheetView>
  </sheetViews>
  <sheetFormatPr defaultRowHeight="30" x14ac:dyDescent="0.2"/>
  <cols>
    <col min="1" max="1" width="79" style="107" customWidth="1"/>
    <col min="2" max="2" width="10.85546875" style="108" customWidth="1"/>
    <col min="3" max="3" width="19.28515625" style="108" customWidth="1"/>
    <col min="4" max="4" width="18.42578125" style="108" customWidth="1"/>
    <col min="5" max="5" width="17.85546875" style="107" customWidth="1"/>
    <col min="6" max="6" width="18" style="107" customWidth="1"/>
    <col min="7" max="7" width="18.5703125" style="107" customWidth="1"/>
    <col min="8" max="8" width="18.140625" style="107" customWidth="1"/>
    <col min="9" max="9" width="18.85546875" style="107" customWidth="1"/>
    <col min="10" max="10" width="21.42578125" style="107" customWidth="1"/>
    <col min="11" max="11" width="30.140625" style="109" customWidth="1"/>
    <col min="12" max="12" width="14.5703125" style="109" customWidth="1"/>
    <col min="13" max="13" width="9.140625" style="109"/>
    <col min="14" max="14" width="15.28515625" style="109" customWidth="1"/>
    <col min="15" max="16" width="13.28515625" style="109" customWidth="1"/>
    <col min="17" max="17" width="11.42578125" style="109" customWidth="1"/>
    <col min="18" max="18" width="12.140625" style="109" customWidth="1"/>
    <col min="19" max="19" width="11.42578125" style="109" customWidth="1"/>
    <col min="20" max="20" width="18.7109375" style="109" bestFit="1" customWidth="1"/>
    <col min="21" max="21" width="17.140625" style="109" bestFit="1" customWidth="1"/>
    <col min="22" max="16384" width="9.140625" style="109"/>
  </cols>
  <sheetData>
    <row r="1" spans="1:11" s="110" customFormat="1" ht="20.25" customHeight="1" x14ac:dyDescent="0.2">
      <c r="B1" s="111"/>
      <c r="C1" s="111"/>
      <c r="D1" s="111"/>
      <c r="F1" s="112"/>
      <c r="G1" s="112"/>
      <c r="H1" s="112"/>
      <c r="I1" s="113" t="s">
        <v>225</v>
      </c>
      <c r="J1" s="112"/>
    </row>
    <row r="2" spans="1:11" s="114" customFormat="1" ht="19.5" x14ac:dyDescent="0.2">
      <c r="A2" s="117" t="s">
        <v>1</v>
      </c>
      <c r="B2" s="117"/>
      <c r="C2" s="117"/>
      <c r="D2" s="117"/>
    </row>
    <row r="3" spans="1:11" s="114" customFormat="1" ht="24" customHeight="1" x14ac:dyDescent="0.2">
      <c r="A3" s="117"/>
      <c r="B3" s="117"/>
      <c r="C3" s="117"/>
      <c r="D3" s="117"/>
    </row>
    <row r="4" spans="1:11" s="114" customFormat="1" ht="36.75" customHeight="1" x14ac:dyDescent="0.2">
      <c r="A4" s="204" t="s">
        <v>278</v>
      </c>
      <c r="B4" s="204"/>
      <c r="C4" s="204"/>
      <c r="D4" s="204"/>
    </row>
    <row r="5" spans="1:11" s="114" customFormat="1" ht="24" customHeight="1" x14ac:dyDescent="0.2">
      <c r="A5" s="118" t="s">
        <v>226</v>
      </c>
      <c r="B5" s="114" t="s">
        <v>279</v>
      </c>
      <c r="C5" s="118"/>
      <c r="D5" s="117"/>
      <c r="E5" s="117"/>
      <c r="F5" s="117"/>
      <c r="H5" s="117"/>
      <c r="I5" s="117"/>
    </row>
    <row r="6" spans="1:11" s="114" customFormat="1" ht="24" customHeight="1" thickBot="1" x14ac:dyDescent="0.25">
      <c r="B6" s="115"/>
      <c r="C6" s="116"/>
      <c r="D6" s="118"/>
      <c r="E6" s="118"/>
      <c r="F6" s="118"/>
      <c r="G6" s="117"/>
      <c r="H6" s="117"/>
      <c r="I6" s="117"/>
    </row>
    <row r="7" spans="1:11" s="114" customFormat="1" ht="24" customHeight="1" x14ac:dyDescent="0.2">
      <c r="B7" s="115"/>
      <c r="C7" s="116"/>
      <c r="D7" s="116"/>
      <c r="E7" s="119"/>
      <c r="F7" s="119"/>
      <c r="H7" s="414" t="s">
        <v>3</v>
      </c>
      <c r="I7" s="414"/>
      <c r="J7" s="120"/>
      <c r="K7" s="121"/>
    </row>
    <row r="8" spans="1:11" s="114" customFormat="1" ht="24" customHeight="1" x14ac:dyDescent="0.2">
      <c r="B8" s="115"/>
      <c r="C8" s="116"/>
      <c r="D8" s="116"/>
      <c r="E8" s="119"/>
      <c r="F8" s="119"/>
      <c r="H8" s="415" t="s">
        <v>5</v>
      </c>
      <c r="I8" s="415"/>
      <c r="J8" s="122"/>
      <c r="K8" s="121"/>
    </row>
    <row r="9" spans="1:11" s="114" customFormat="1" ht="24" customHeight="1" x14ac:dyDescent="0.2">
      <c r="B9" s="115"/>
      <c r="C9" s="116"/>
      <c r="D9" s="116"/>
      <c r="E9" s="119"/>
      <c r="F9" s="119"/>
      <c r="H9" s="415" t="s">
        <v>6</v>
      </c>
      <c r="I9" s="415"/>
      <c r="J9" s="122"/>
      <c r="K9" s="121" t="s">
        <v>4</v>
      </c>
    </row>
    <row r="10" spans="1:11" s="114" customFormat="1" ht="24" customHeight="1" x14ac:dyDescent="0.2">
      <c r="B10" s="115"/>
      <c r="C10" s="116"/>
      <c r="D10" s="116"/>
      <c r="E10" s="119"/>
      <c r="F10" s="119"/>
      <c r="H10" s="415" t="s">
        <v>7</v>
      </c>
      <c r="I10" s="415"/>
      <c r="J10" s="122"/>
      <c r="K10" s="121"/>
    </row>
    <row r="11" spans="1:11" s="114" customFormat="1" ht="24" customHeight="1" thickBot="1" x14ac:dyDescent="0.25">
      <c r="B11" s="115"/>
      <c r="C11" s="116"/>
      <c r="D11" s="116"/>
      <c r="E11" s="119"/>
      <c r="F11" s="119"/>
      <c r="H11" s="416" t="s">
        <v>8</v>
      </c>
      <c r="I11" s="416"/>
      <c r="J11" s="123"/>
      <c r="K11" s="121"/>
    </row>
    <row r="12" spans="1:11" s="114" customFormat="1" ht="18.75" x14ac:dyDescent="0.2">
      <c r="B12" s="115"/>
      <c r="C12" s="116"/>
      <c r="D12" s="116"/>
      <c r="E12" s="119"/>
      <c r="F12" s="119"/>
      <c r="G12" s="119"/>
      <c r="H12" s="119"/>
      <c r="I12" s="119"/>
    </row>
    <row r="13" spans="1:11" s="114" customFormat="1" ht="18" customHeight="1" thickBot="1" x14ac:dyDescent="0.25">
      <c r="B13" s="406"/>
      <c r="C13" s="406"/>
      <c r="D13" s="406"/>
      <c r="E13" s="406"/>
      <c r="F13" s="119"/>
      <c r="G13" s="119"/>
      <c r="H13" s="407"/>
      <c r="I13" s="407"/>
    </row>
    <row r="14" spans="1:11" s="114" customFormat="1" ht="18" customHeight="1" thickBot="1" x14ac:dyDescent="0.25">
      <c r="A14" s="124" t="s">
        <v>9</v>
      </c>
      <c r="B14" s="331">
        <v>2023</v>
      </c>
      <c r="C14" s="125"/>
      <c r="D14" s="125"/>
      <c r="E14" s="125"/>
      <c r="F14" s="125"/>
      <c r="G14" s="125"/>
      <c r="H14" s="408" t="s">
        <v>10</v>
      </c>
      <c r="I14" s="408"/>
      <c r="J14" s="408"/>
      <c r="K14" s="126"/>
    </row>
    <row r="15" spans="1:11" s="114" customFormat="1" ht="54.4" customHeight="1" thickBot="1" x14ac:dyDescent="0.25">
      <c r="A15" s="127" t="s">
        <v>11</v>
      </c>
      <c r="B15" s="409" t="s">
        <v>302</v>
      </c>
      <c r="C15" s="409"/>
      <c r="D15" s="409"/>
      <c r="E15" s="409"/>
      <c r="F15" s="409"/>
      <c r="G15" s="409"/>
      <c r="H15" s="393" t="s">
        <v>12</v>
      </c>
      <c r="I15" s="393"/>
      <c r="J15" s="128">
        <v>37803279</v>
      </c>
      <c r="K15" s="129"/>
    </row>
    <row r="16" spans="1:11" s="114" customFormat="1" ht="37.5" customHeight="1" thickBot="1" x14ac:dyDescent="0.25">
      <c r="A16" s="124" t="s">
        <v>13</v>
      </c>
      <c r="B16" s="403" t="s">
        <v>294</v>
      </c>
      <c r="C16" s="404"/>
      <c r="D16" s="404"/>
      <c r="E16" s="404"/>
      <c r="F16" s="404"/>
      <c r="G16" s="405"/>
      <c r="H16" s="393" t="s">
        <v>14</v>
      </c>
      <c r="I16" s="393"/>
      <c r="J16" s="130"/>
      <c r="K16" s="129"/>
    </row>
    <row r="17" spans="1:11" s="114" customFormat="1" ht="39" customHeight="1" thickBot="1" x14ac:dyDescent="0.25">
      <c r="A17" s="124" t="s">
        <v>15</v>
      </c>
      <c r="B17" s="403" t="s">
        <v>295</v>
      </c>
      <c r="C17" s="404"/>
      <c r="D17" s="404"/>
      <c r="E17" s="404"/>
      <c r="F17" s="404"/>
      <c r="G17" s="405"/>
      <c r="H17" s="393" t="s">
        <v>16</v>
      </c>
      <c r="I17" s="393"/>
      <c r="J17" s="130"/>
      <c r="K17" s="129"/>
    </row>
    <row r="18" spans="1:11" s="114" customFormat="1" ht="18" customHeight="1" thickBot="1" x14ac:dyDescent="0.25">
      <c r="A18" s="124" t="s">
        <v>17</v>
      </c>
      <c r="B18" s="331"/>
      <c r="C18" s="125"/>
      <c r="D18" s="125"/>
      <c r="E18" s="125"/>
      <c r="F18" s="125"/>
      <c r="G18" s="125"/>
      <c r="H18" s="393" t="s">
        <v>18</v>
      </c>
      <c r="I18" s="393"/>
      <c r="J18" s="130"/>
      <c r="K18" s="129"/>
    </row>
    <row r="19" spans="1:11" s="114" customFormat="1" ht="18" customHeight="1" thickBot="1" x14ac:dyDescent="0.25">
      <c r="A19" s="124" t="s">
        <v>19</v>
      </c>
      <c r="B19" s="403" t="s">
        <v>303</v>
      </c>
      <c r="C19" s="404"/>
      <c r="D19" s="404"/>
      <c r="E19" s="404"/>
      <c r="F19" s="404"/>
      <c r="G19" s="405"/>
      <c r="H19" s="393" t="s">
        <v>20</v>
      </c>
      <c r="I19" s="393"/>
      <c r="J19" s="130"/>
      <c r="K19" s="129"/>
    </row>
    <row r="20" spans="1:11" s="114" customFormat="1" ht="33" customHeight="1" thickBot="1" x14ac:dyDescent="0.25">
      <c r="A20" s="124" t="s">
        <v>21</v>
      </c>
      <c r="B20" s="403" t="s">
        <v>297</v>
      </c>
      <c r="C20" s="404"/>
      <c r="D20" s="404"/>
      <c r="E20" s="404"/>
      <c r="F20" s="404"/>
      <c r="G20" s="405"/>
      <c r="H20" s="393" t="s">
        <v>22</v>
      </c>
      <c r="I20" s="393"/>
      <c r="J20" s="130" t="s">
        <v>296</v>
      </c>
      <c r="K20" s="129"/>
    </row>
    <row r="21" spans="1:11" s="114" customFormat="1" ht="18" customHeight="1" thickBot="1" x14ac:dyDescent="0.25">
      <c r="A21" s="124" t="s">
        <v>23</v>
      </c>
      <c r="B21" s="394" t="s">
        <v>227</v>
      </c>
      <c r="C21" s="394"/>
      <c r="D21" s="394"/>
      <c r="E21" s="394"/>
      <c r="F21" s="394"/>
      <c r="G21" s="394"/>
      <c r="H21" s="132"/>
      <c r="I21" s="133"/>
      <c r="J21" s="130"/>
      <c r="K21" s="134"/>
    </row>
    <row r="22" spans="1:11" s="114" customFormat="1" ht="18" customHeight="1" thickBot="1" x14ac:dyDescent="0.25">
      <c r="A22" s="124" t="s">
        <v>24</v>
      </c>
      <c r="B22" s="403" t="s">
        <v>299</v>
      </c>
      <c r="C22" s="404"/>
      <c r="D22" s="404"/>
      <c r="E22" s="404"/>
      <c r="F22" s="404"/>
      <c r="G22" s="405"/>
      <c r="H22" s="135"/>
      <c r="I22" s="136"/>
      <c r="J22" s="130"/>
      <c r="K22" s="126"/>
    </row>
    <row r="23" spans="1:11" s="114" customFormat="1" ht="18" customHeight="1" thickBot="1" x14ac:dyDescent="0.25">
      <c r="A23" s="124" t="s">
        <v>25</v>
      </c>
      <c r="B23" s="331">
        <v>330</v>
      </c>
      <c r="C23" s="131"/>
      <c r="D23" s="131"/>
      <c r="E23" s="131"/>
      <c r="F23" s="131"/>
      <c r="G23" s="137"/>
      <c r="H23" s="393" t="s">
        <v>228</v>
      </c>
      <c r="I23" s="393"/>
      <c r="J23" s="130"/>
      <c r="K23" s="129"/>
    </row>
    <row r="24" spans="1:11" s="114" customFormat="1" ht="35.25" customHeight="1" thickBot="1" x14ac:dyDescent="0.25">
      <c r="A24" s="124" t="s">
        <v>26</v>
      </c>
      <c r="B24" s="403" t="s">
        <v>300</v>
      </c>
      <c r="C24" s="404"/>
      <c r="D24" s="404"/>
      <c r="E24" s="404"/>
      <c r="F24" s="404"/>
      <c r="G24" s="405"/>
      <c r="H24" s="393" t="s">
        <v>229</v>
      </c>
      <c r="I24" s="393"/>
      <c r="J24" s="130"/>
      <c r="K24" s="129"/>
    </row>
    <row r="25" spans="1:11" s="114" customFormat="1" ht="18" customHeight="1" thickBot="1" x14ac:dyDescent="0.25">
      <c r="A25" s="124" t="s">
        <v>27</v>
      </c>
      <c r="B25" s="331"/>
      <c r="C25" s="131"/>
      <c r="D25" s="131"/>
      <c r="E25" s="131"/>
      <c r="F25" s="137"/>
      <c r="G25" s="138"/>
      <c r="H25" s="139"/>
      <c r="I25" s="139"/>
      <c r="J25" s="139"/>
      <c r="K25" s="134"/>
    </row>
    <row r="26" spans="1:11" s="114" customFormat="1" ht="18" customHeight="1" thickBot="1" x14ac:dyDescent="0.25">
      <c r="A26" s="124" t="s">
        <v>28</v>
      </c>
      <c r="B26" s="396" t="s">
        <v>301</v>
      </c>
      <c r="C26" s="397"/>
      <c r="D26" s="397"/>
      <c r="E26" s="397"/>
      <c r="F26" s="397"/>
      <c r="G26" s="398"/>
    </row>
    <row r="27" spans="1:11" s="114" customFormat="1" ht="15" customHeight="1" x14ac:dyDescent="0.2">
      <c r="A27" s="140"/>
      <c r="B27" s="115"/>
      <c r="C27" s="115"/>
      <c r="D27" s="115"/>
    </row>
    <row r="28" spans="1:11" s="114" customFormat="1" ht="23.25" customHeight="1" x14ac:dyDescent="0.3">
      <c r="A28" s="395" t="s">
        <v>307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</row>
    <row r="29" spans="1:11" s="114" customFormat="1" ht="17.25" customHeight="1" thickBot="1" x14ac:dyDescent="0.25">
      <c r="A29" s="141"/>
      <c r="B29" s="142"/>
      <c r="C29" s="143"/>
      <c r="D29" s="143"/>
      <c r="E29" s="143"/>
      <c r="F29" s="144" t="s">
        <v>230</v>
      </c>
      <c r="G29" s="143"/>
      <c r="H29" s="143"/>
      <c r="I29" s="143"/>
      <c r="J29" s="143"/>
      <c r="K29" s="143" t="s">
        <v>29</v>
      </c>
    </row>
    <row r="30" spans="1:11" s="119" customFormat="1" ht="20.100000000000001" customHeight="1" thickBot="1" x14ac:dyDescent="0.35">
      <c r="A30" s="399" t="s">
        <v>30</v>
      </c>
      <c r="B30" s="400" t="s">
        <v>231</v>
      </c>
      <c r="C30" s="401" t="s">
        <v>315</v>
      </c>
      <c r="D30" s="401"/>
      <c r="E30" s="401"/>
      <c r="F30" s="401"/>
      <c r="G30" s="402" t="s">
        <v>232</v>
      </c>
      <c r="H30" s="402"/>
      <c r="I30" s="402"/>
      <c r="J30" s="402"/>
      <c r="K30" s="392" t="s">
        <v>34</v>
      </c>
    </row>
    <row r="31" spans="1:11" s="119" customFormat="1" ht="70.5" customHeight="1" thickBot="1" x14ac:dyDescent="0.25">
      <c r="A31" s="399"/>
      <c r="B31" s="400"/>
      <c r="C31" s="147" t="s">
        <v>233</v>
      </c>
      <c r="D31" s="315" t="s">
        <v>234</v>
      </c>
      <c r="E31" s="147" t="s">
        <v>235</v>
      </c>
      <c r="F31" s="147" t="s">
        <v>236</v>
      </c>
      <c r="G31" s="147" t="s">
        <v>233</v>
      </c>
      <c r="H31" s="330" t="s">
        <v>234</v>
      </c>
      <c r="I31" s="330" t="s">
        <v>235</v>
      </c>
      <c r="J31" s="145" t="s">
        <v>236</v>
      </c>
      <c r="K31" s="392"/>
    </row>
    <row r="32" spans="1:11" s="119" customFormat="1" ht="20.100000000000001" customHeight="1" thickBot="1" x14ac:dyDescent="0.25">
      <c r="A32" s="146">
        <v>1</v>
      </c>
      <c r="B32" s="147">
        <v>2</v>
      </c>
      <c r="C32" s="148">
        <v>3</v>
      </c>
      <c r="D32" s="149">
        <v>4</v>
      </c>
      <c r="E32" s="148">
        <v>5</v>
      </c>
      <c r="F32" s="148">
        <v>6</v>
      </c>
      <c r="G32" s="148">
        <v>7</v>
      </c>
      <c r="H32" s="148">
        <v>8</v>
      </c>
      <c r="I32" s="148">
        <v>9</v>
      </c>
      <c r="J32" s="148">
        <v>10</v>
      </c>
      <c r="K32" s="329">
        <v>11</v>
      </c>
    </row>
    <row r="33" spans="1:21" s="159" customFormat="1" ht="22.5" customHeight="1" thickBot="1" x14ac:dyDescent="0.25">
      <c r="A33" s="150" t="s">
        <v>39</v>
      </c>
      <c r="B33" s="151"/>
      <c r="C33" s="152"/>
      <c r="D33" s="153"/>
      <c r="E33" s="154"/>
      <c r="F33" s="155"/>
      <c r="G33" s="156"/>
      <c r="H33" s="153"/>
      <c r="I33" s="152"/>
      <c r="J33" s="157"/>
      <c r="K33" s="158"/>
    </row>
    <row r="34" spans="1:21" s="119" customFormat="1" ht="20.25" x14ac:dyDescent="0.2">
      <c r="A34" s="197" t="s">
        <v>40</v>
      </c>
      <c r="B34" s="160"/>
      <c r="C34" s="322">
        <f>C35+C36+C37+C38+C39+C45</f>
        <v>15684.9</v>
      </c>
      <c r="D34" s="335">
        <f>D35+D36+D37+D38+D39</f>
        <v>20995.699999999997</v>
      </c>
      <c r="E34" s="323">
        <f>C34-D34</f>
        <v>-5310.7999999999975</v>
      </c>
      <c r="F34" s="324">
        <f>D34/C34*100</f>
        <v>133.85931692264532</v>
      </c>
      <c r="G34" s="322">
        <f>G35+G36+G37+G38+G39+G45</f>
        <v>72711.199999999997</v>
      </c>
      <c r="H34" s="335">
        <f>H35+H36+H37+H38+H39</f>
        <v>74700.800000000017</v>
      </c>
      <c r="I34" s="323">
        <f>G34-H34</f>
        <v>-1989.6000000000204</v>
      </c>
      <c r="J34" s="166">
        <f>H34/G34*100</f>
        <v>102.73630472334389</v>
      </c>
      <c r="K34" s="161"/>
    </row>
    <row r="35" spans="1:21" s="119" customFormat="1" ht="37.5" x14ac:dyDescent="0.2">
      <c r="A35" s="162" t="s">
        <v>237</v>
      </c>
      <c r="B35" s="163">
        <v>1010</v>
      </c>
      <c r="C35" s="311">
        <f>'[1]додаток 1 '!J36+'[1]додаток 1 '!J48</f>
        <v>10952.199999999999</v>
      </c>
      <c r="D35" s="316">
        <v>13190.5</v>
      </c>
      <c r="E35" s="274">
        <f>C35-D35</f>
        <v>-2238.3000000000011</v>
      </c>
      <c r="F35" s="290">
        <f>D35/C35*100</f>
        <v>120.43698982852762</v>
      </c>
      <c r="G35" s="274">
        <f>'[1]додаток 1 '!F36+'[1]додаток 1 '!F48</f>
        <v>55529.2</v>
      </c>
      <c r="H35" s="274">
        <v>55097.8</v>
      </c>
      <c r="I35" s="274">
        <f t="shared" ref="I35:I40" si="0">G35-H35</f>
        <v>431.39999999999418</v>
      </c>
      <c r="J35" s="290">
        <f t="shared" ref="J35:J40" si="1">H35/G35*100</f>
        <v>99.223111444069076</v>
      </c>
      <c r="K35" s="291"/>
    </row>
    <row r="36" spans="1:21" s="119" customFormat="1" ht="18.75" x14ac:dyDescent="0.2">
      <c r="A36" s="162" t="s">
        <v>238</v>
      </c>
      <c r="B36" s="163">
        <v>1020</v>
      </c>
      <c r="C36" s="311">
        <f>'[1]додаток 1 '!J38</f>
        <v>1317.4</v>
      </c>
      <c r="D36" s="316">
        <v>2680.4</v>
      </c>
      <c r="E36" s="274">
        <f t="shared" ref="E36:E64" si="2">C36-D36</f>
        <v>-1363</v>
      </c>
      <c r="F36" s="290">
        <f t="shared" ref="F36:F64" si="3">D36/C36*100</f>
        <v>203.46136329133139</v>
      </c>
      <c r="G36" s="274">
        <f>'[1]додаток 1 '!F38</f>
        <v>3011</v>
      </c>
      <c r="H36" s="274">
        <v>4193.3</v>
      </c>
      <c r="I36" s="274">
        <f t="shared" si="0"/>
        <v>-1182.3000000000002</v>
      </c>
      <c r="J36" s="290">
        <f t="shared" si="1"/>
        <v>139.26602457655264</v>
      </c>
      <c r="K36" s="291"/>
    </row>
    <row r="37" spans="1:21" s="119" customFormat="1" ht="18.75" x14ac:dyDescent="0.2">
      <c r="A37" s="162" t="s">
        <v>290</v>
      </c>
      <c r="B37" s="163">
        <v>1030</v>
      </c>
      <c r="C37" s="311">
        <f>'[1]додаток 1 '!J40</f>
        <v>1729.2</v>
      </c>
      <c r="D37" s="316">
        <v>1900.4</v>
      </c>
      <c r="E37" s="274">
        <f t="shared" si="2"/>
        <v>-171.20000000000005</v>
      </c>
      <c r="F37" s="290">
        <f t="shared" si="3"/>
        <v>109.90053203793661</v>
      </c>
      <c r="G37" s="274">
        <f>'[1]додаток 1 '!F40</f>
        <v>7123.7</v>
      </c>
      <c r="H37" s="274">
        <v>5574.3</v>
      </c>
      <c r="I37" s="274">
        <f t="shared" si="0"/>
        <v>1549.3999999999996</v>
      </c>
      <c r="J37" s="290">
        <f t="shared" si="1"/>
        <v>78.250066678832624</v>
      </c>
      <c r="K37" s="291"/>
    </row>
    <row r="38" spans="1:21" s="119" customFormat="1" ht="18.75" x14ac:dyDescent="0.2">
      <c r="A38" s="264" t="s">
        <v>287</v>
      </c>
      <c r="B38" s="163">
        <v>1031</v>
      </c>
      <c r="C38" s="311">
        <v>0</v>
      </c>
      <c r="D38" s="316">
        <v>27.1</v>
      </c>
      <c r="E38" s="274">
        <f t="shared" si="2"/>
        <v>-27.1</v>
      </c>
      <c r="F38" s="290" t="e">
        <f t="shared" si="3"/>
        <v>#DIV/0!</v>
      </c>
      <c r="G38" s="274">
        <f>C38</f>
        <v>0</v>
      </c>
      <c r="H38" s="274">
        <v>77.3</v>
      </c>
      <c r="I38" s="274">
        <f t="shared" si="0"/>
        <v>-77.3</v>
      </c>
      <c r="J38" s="290" t="e">
        <f t="shared" si="1"/>
        <v>#DIV/0!</v>
      </c>
      <c r="K38" s="292" t="s">
        <v>309</v>
      </c>
    </row>
    <row r="39" spans="1:21" s="119" customFormat="1" ht="18.75" x14ac:dyDescent="0.2">
      <c r="A39" s="162" t="s">
        <v>53</v>
      </c>
      <c r="B39" s="163">
        <v>1040</v>
      </c>
      <c r="C39" s="274">
        <f>C40+C41+C42+C43+C44+C45</f>
        <v>1686.1</v>
      </c>
      <c r="D39" s="316">
        <f>D40+D41+D42+D43+D44+D45</f>
        <v>3197.3</v>
      </c>
      <c r="E39" s="274">
        <f t="shared" si="2"/>
        <v>-1511.2000000000003</v>
      </c>
      <c r="F39" s="290">
        <f t="shared" si="3"/>
        <v>189.62694976573161</v>
      </c>
      <c r="G39" s="274">
        <f>G40+G41+G42+G43+G44+G45</f>
        <v>7047.2999999999993</v>
      </c>
      <c r="H39" s="274">
        <f>H40+H41+H42+H43+H44+H45</f>
        <v>9758.0999999999985</v>
      </c>
      <c r="I39" s="274">
        <f t="shared" si="0"/>
        <v>-2710.7999999999993</v>
      </c>
      <c r="J39" s="290">
        <f t="shared" si="1"/>
        <v>138.46579541100849</v>
      </c>
      <c r="K39" s="291"/>
    </row>
    <row r="40" spans="1:21" s="119" customFormat="1" ht="18.75" x14ac:dyDescent="0.2">
      <c r="A40" s="168" t="s">
        <v>54</v>
      </c>
      <c r="B40" s="163">
        <v>1041</v>
      </c>
      <c r="C40" s="311">
        <f>'[1]додаток 1 '!J45</f>
        <v>131.4</v>
      </c>
      <c r="D40" s="316">
        <v>131.4</v>
      </c>
      <c r="E40" s="274">
        <f t="shared" si="2"/>
        <v>0</v>
      </c>
      <c r="F40" s="290">
        <f t="shared" si="3"/>
        <v>100</v>
      </c>
      <c r="G40" s="274">
        <f>'[1]додаток 1 '!F45</f>
        <v>166.3</v>
      </c>
      <c r="H40" s="274">
        <v>166.3</v>
      </c>
      <c r="I40" s="274">
        <f t="shared" si="0"/>
        <v>0</v>
      </c>
      <c r="J40" s="290">
        <f t="shared" si="1"/>
        <v>100</v>
      </c>
      <c r="K40" s="291"/>
    </row>
    <row r="41" spans="1:21" s="119" customFormat="1" ht="18.75" x14ac:dyDescent="0.2">
      <c r="A41" s="168" t="s">
        <v>56</v>
      </c>
      <c r="B41" s="163">
        <v>1042</v>
      </c>
      <c r="C41" s="311">
        <f>'[1]додаток 1 '!I46</f>
        <v>0</v>
      </c>
      <c r="D41" s="316">
        <v>0</v>
      </c>
      <c r="E41" s="274">
        <f t="shared" si="2"/>
        <v>0</v>
      </c>
      <c r="F41" s="290" t="e">
        <f t="shared" si="3"/>
        <v>#DIV/0!</v>
      </c>
      <c r="G41" s="274">
        <f>'[1]додаток 1 '!F46</f>
        <v>0</v>
      </c>
      <c r="H41" s="274">
        <f>D41</f>
        <v>0</v>
      </c>
      <c r="I41" s="274"/>
      <c r="J41" s="290"/>
      <c r="K41" s="291"/>
    </row>
    <row r="42" spans="1:21" s="119" customFormat="1" ht="18.75" x14ac:dyDescent="0.2">
      <c r="A42" s="168" t="s">
        <v>284</v>
      </c>
      <c r="B42" s="163">
        <v>1043</v>
      </c>
      <c r="C42" s="311">
        <f>'[1]додаток 1 '!J47</f>
        <v>1090.8</v>
      </c>
      <c r="D42" s="316">
        <v>1090.8</v>
      </c>
      <c r="E42" s="274">
        <f t="shared" si="2"/>
        <v>0</v>
      </c>
      <c r="F42" s="290">
        <f t="shared" si="3"/>
        <v>100</v>
      </c>
      <c r="G42" s="274">
        <f>'[1]додаток 1 '!F47</f>
        <v>4656.8999999999996</v>
      </c>
      <c r="H42" s="274">
        <v>4656.8999999999996</v>
      </c>
      <c r="I42" s="274">
        <f t="shared" ref="I42:I53" si="4">G42-H42</f>
        <v>0</v>
      </c>
      <c r="J42" s="290">
        <f t="shared" ref="J42:J53" si="5">H42/G42*100</f>
        <v>100</v>
      </c>
      <c r="K42" s="292" t="s">
        <v>316</v>
      </c>
    </row>
    <row r="43" spans="1:21" s="119" customFormat="1" ht="18.75" x14ac:dyDescent="0.2">
      <c r="A43" s="168" t="s">
        <v>285</v>
      </c>
      <c r="B43" s="163">
        <v>1044</v>
      </c>
      <c r="C43" s="311">
        <f>'[1]додаток 1 '!J50</f>
        <v>184.8</v>
      </c>
      <c r="D43" s="316">
        <v>184.8</v>
      </c>
      <c r="E43" s="274">
        <f t="shared" si="2"/>
        <v>0</v>
      </c>
      <c r="F43" s="290">
        <f t="shared" si="3"/>
        <v>100</v>
      </c>
      <c r="G43" s="274">
        <f>'[1]додаток 1 '!F50</f>
        <v>727.39999999999986</v>
      </c>
      <c r="H43" s="274">
        <v>727.4</v>
      </c>
      <c r="I43" s="274">
        <f t="shared" si="4"/>
        <v>0</v>
      </c>
      <c r="J43" s="290">
        <f t="shared" si="5"/>
        <v>100.00000000000003</v>
      </c>
      <c r="K43" s="292" t="s">
        <v>316</v>
      </c>
    </row>
    <row r="44" spans="1:21" s="119" customFormat="1" ht="18.75" x14ac:dyDescent="0.2">
      <c r="A44" s="168" t="s">
        <v>288</v>
      </c>
      <c r="B44" s="163">
        <v>1045</v>
      </c>
      <c r="C44" s="311">
        <f>'[1]додаток 1 '!J49</f>
        <v>279.10000000000002</v>
      </c>
      <c r="D44" s="316">
        <v>302.8</v>
      </c>
      <c r="E44" s="274">
        <f t="shared" si="2"/>
        <v>-23.699999999999989</v>
      </c>
      <c r="F44" s="290">
        <f t="shared" si="3"/>
        <v>108.49158007882478</v>
      </c>
      <c r="G44" s="274">
        <f>'[1]додаток 1 '!F49</f>
        <v>1496.6999999999998</v>
      </c>
      <c r="H44" s="274">
        <v>1496.6</v>
      </c>
      <c r="I44" s="274">
        <f t="shared" si="4"/>
        <v>9.9999999999909051E-2</v>
      </c>
      <c r="J44" s="290">
        <f t="shared" si="5"/>
        <v>99.993318634328858</v>
      </c>
      <c r="K44" s="291"/>
    </row>
    <row r="45" spans="1:21" s="119" customFormat="1" ht="37.5" x14ac:dyDescent="0.2">
      <c r="A45" s="265" t="s">
        <v>289</v>
      </c>
      <c r="B45" s="163">
        <v>1046</v>
      </c>
      <c r="C45" s="336"/>
      <c r="D45" s="316">
        <v>1487.5</v>
      </c>
      <c r="E45" s="274">
        <f t="shared" si="2"/>
        <v>-1487.5</v>
      </c>
      <c r="F45" s="290" t="e">
        <f t="shared" si="3"/>
        <v>#DIV/0!</v>
      </c>
      <c r="G45" s="337"/>
      <c r="H45" s="274">
        <v>2710.9</v>
      </c>
      <c r="I45" s="274">
        <f t="shared" si="4"/>
        <v>-2710.9</v>
      </c>
      <c r="J45" s="290" t="e">
        <f t="shared" si="5"/>
        <v>#DIV/0!</v>
      </c>
      <c r="K45" s="291"/>
      <c r="L45" s="119">
        <v>2023</v>
      </c>
      <c r="N45" s="119" t="s">
        <v>321</v>
      </c>
      <c r="O45" s="119" t="s">
        <v>322</v>
      </c>
      <c r="P45" s="119" t="s">
        <v>323</v>
      </c>
      <c r="Q45" s="362" t="s">
        <v>324</v>
      </c>
      <c r="R45" s="119" t="s">
        <v>325</v>
      </c>
      <c r="S45" s="119" t="s">
        <v>326</v>
      </c>
      <c r="T45" s="119" t="s">
        <v>327</v>
      </c>
      <c r="U45" s="119" t="s">
        <v>328</v>
      </c>
    </row>
    <row r="46" spans="1:21" s="119" customFormat="1" ht="20.25" x14ac:dyDescent="0.2">
      <c r="A46" s="198" t="s">
        <v>239</v>
      </c>
      <c r="B46" s="163"/>
      <c r="C46" s="311">
        <f>SUM(C47:C54)+C61+C62+C63+C64+C65</f>
        <v>15684.900000000001</v>
      </c>
      <c r="D46" s="311">
        <f>SUM(D47:D54)+D61+D62+D63+D64+D65</f>
        <v>22739.7</v>
      </c>
      <c r="E46" s="274">
        <f t="shared" si="2"/>
        <v>-7054.7999999999993</v>
      </c>
      <c r="F46" s="290">
        <f t="shared" si="3"/>
        <v>144.97829122276841</v>
      </c>
      <c r="G46" s="311">
        <f>SUM(G47:G54)+G61+G62+G63+G64+G65</f>
        <v>72711.199999999997</v>
      </c>
      <c r="H46" s="311">
        <f>SUM(H47:H54)+H61+H62+H63+H64+H65</f>
        <v>73156.700000000012</v>
      </c>
      <c r="I46" s="274">
        <f t="shared" si="4"/>
        <v>-445.50000000001455</v>
      </c>
      <c r="J46" s="290">
        <f t="shared" si="5"/>
        <v>100.6126979062373</v>
      </c>
      <c r="K46" s="291"/>
      <c r="L46" s="365">
        <f>SUM(L47:L65)</f>
        <v>73156514.730000004</v>
      </c>
      <c r="N46" s="366">
        <f t="shared" ref="N46:S46" si="6">SUM(N47:N65)</f>
        <v>53583197.899999999</v>
      </c>
      <c r="O46" s="366">
        <f t="shared" si="6"/>
        <v>12775768.039999999</v>
      </c>
      <c r="P46" s="366">
        <f t="shared" si="6"/>
        <v>81479.180000000008</v>
      </c>
      <c r="Q46" s="366">
        <f t="shared" si="6"/>
        <v>1331767.8700000001</v>
      </c>
      <c r="R46" s="366">
        <f t="shared" si="6"/>
        <v>4656938.9800000004</v>
      </c>
      <c r="S46" s="366">
        <f t="shared" si="6"/>
        <v>727362.76</v>
      </c>
      <c r="T46" s="368">
        <f>O46+P46</f>
        <v>12857247.219999999</v>
      </c>
      <c r="U46" s="368">
        <f>Q46+R46+S46</f>
        <v>6716069.6100000003</v>
      </c>
    </row>
    <row r="47" spans="1:21" s="119" customFormat="1" ht="18.75" x14ac:dyDescent="0.2">
      <c r="A47" s="162" t="s">
        <v>70</v>
      </c>
      <c r="B47" s="163">
        <v>1050</v>
      </c>
      <c r="C47" s="311">
        <f>'[1]додаток 1 '!J65+'[1]додаток 1 '!J95+'[1]додаток 1 '!J107</f>
        <v>9389</v>
      </c>
      <c r="D47" s="316">
        <v>12554.4</v>
      </c>
      <c r="E47" s="274">
        <f t="shared" si="2"/>
        <v>-3165.3999999999996</v>
      </c>
      <c r="F47" s="290">
        <f t="shared" si="3"/>
        <v>133.71392054531898</v>
      </c>
      <c r="G47" s="274">
        <f>'[1]додаток 1 '!F65+'[1]додаток 1 '!F95+'[1]додаток 1 '!F107</f>
        <v>44895.7</v>
      </c>
      <c r="H47" s="274">
        <v>43601.2</v>
      </c>
      <c r="I47" s="274">
        <f t="shared" si="4"/>
        <v>1294.5</v>
      </c>
      <c r="J47" s="290">
        <f t="shared" si="5"/>
        <v>97.116650369634499</v>
      </c>
      <c r="K47" s="291"/>
      <c r="L47" s="365">
        <f>SUM(N47:S47)</f>
        <v>43601247.880000003</v>
      </c>
      <c r="N47" s="361">
        <v>42699747.880000003</v>
      </c>
      <c r="O47" s="364">
        <v>901500</v>
      </c>
      <c r="P47" s="364"/>
      <c r="Q47" s="364"/>
      <c r="T47" s="368">
        <f t="shared" ref="T47:T65" si="7">O47+P47</f>
        <v>901500</v>
      </c>
      <c r="U47" s="368">
        <f t="shared" ref="U47:U65" si="8">Q47+R47+S47</f>
        <v>0</v>
      </c>
    </row>
    <row r="48" spans="1:21" s="119" customFormat="1" ht="18.75" x14ac:dyDescent="0.2">
      <c r="A48" s="162" t="s">
        <v>72</v>
      </c>
      <c r="B48" s="163">
        <v>1060</v>
      </c>
      <c r="C48" s="311">
        <f>'[1]додаток 1 '!J66+'[1]додаток 1 '!J96+'[1]додаток 1 '!J108</f>
        <v>1568.5</v>
      </c>
      <c r="D48" s="316">
        <v>2566.1999999999998</v>
      </c>
      <c r="E48" s="274">
        <f t="shared" si="2"/>
        <v>-997.69999999999982</v>
      </c>
      <c r="F48" s="290">
        <f t="shared" si="3"/>
        <v>163.60854319413451</v>
      </c>
      <c r="G48" s="274">
        <f>'[1]додаток 1 '!F66+'[1]додаток 1 '!F96+'[1]додаток 1 '!F108</f>
        <v>9031.2000000000007</v>
      </c>
      <c r="H48" s="274">
        <v>8944.4</v>
      </c>
      <c r="I48" s="274">
        <f t="shared" si="4"/>
        <v>86.800000000001091</v>
      </c>
      <c r="J48" s="290">
        <f t="shared" si="5"/>
        <v>99.038887412525455</v>
      </c>
      <c r="K48" s="291"/>
      <c r="L48" s="365">
        <f t="shared" ref="L48:L65" si="9">SUM(N48:S48)</f>
        <v>8944389.7999999989</v>
      </c>
      <c r="N48" s="363">
        <v>8770453.8499999996</v>
      </c>
      <c r="O48" s="364">
        <v>173935.95</v>
      </c>
      <c r="P48" s="364"/>
      <c r="Q48" s="364"/>
      <c r="T48" s="368">
        <f t="shared" si="7"/>
        <v>173935.95</v>
      </c>
      <c r="U48" s="368">
        <f t="shared" si="8"/>
        <v>0</v>
      </c>
    </row>
    <row r="49" spans="1:21" s="119" customFormat="1" ht="18.75" x14ac:dyDescent="0.2">
      <c r="A49" s="162" t="s">
        <v>74</v>
      </c>
      <c r="B49" s="163">
        <v>1070</v>
      </c>
      <c r="C49" s="311">
        <f>'[1]додаток 1 '!J67+'[1]додаток 1 '!J97+'[1]додаток 1 '!J109</f>
        <v>289.2</v>
      </c>
      <c r="D49" s="316">
        <v>430.2</v>
      </c>
      <c r="E49" s="274">
        <f t="shared" si="2"/>
        <v>-141</v>
      </c>
      <c r="F49" s="290">
        <f t="shared" si="3"/>
        <v>148.75518672199172</v>
      </c>
      <c r="G49" s="274">
        <f>'[1]додаток 1 '!F67+'[1]додаток 1 '!F97+'[1]додаток 1 '!F109</f>
        <v>1866.8</v>
      </c>
      <c r="H49" s="274">
        <v>1272.5999999999999</v>
      </c>
      <c r="I49" s="274">
        <f t="shared" si="4"/>
        <v>594.20000000000005</v>
      </c>
      <c r="J49" s="290">
        <f t="shared" si="5"/>
        <v>68.170130704949642</v>
      </c>
      <c r="K49" s="291"/>
      <c r="L49" s="365">
        <f t="shared" si="9"/>
        <v>1272559.48</v>
      </c>
      <c r="N49" s="364">
        <v>742657.29</v>
      </c>
      <c r="O49" s="364">
        <v>33609.83</v>
      </c>
      <c r="P49" s="364"/>
      <c r="Q49" s="364">
        <v>404684.78</v>
      </c>
      <c r="R49" s="364">
        <v>91589.34</v>
      </c>
      <c r="S49" s="364">
        <v>18.239999999999998</v>
      </c>
      <c r="T49" s="368">
        <f t="shared" si="7"/>
        <v>33609.83</v>
      </c>
      <c r="U49" s="368">
        <f t="shared" si="8"/>
        <v>496292.36</v>
      </c>
    </row>
    <row r="50" spans="1:21" s="119" customFormat="1" ht="18.75" x14ac:dyDescent="0.2">
      <c r="A50" s="162" t="s">
        <v>76</v>
      </c>
      <c r="B50" s="163">
        <v>1080</v>
      </c>
      <c r="C50" s="311">
        <f>'[1]додаток 1 '!J73+'[1]додаток 1 '!J98+'[1]додаток 1 '!J110</f>
        <v>2154.8000000000002</v>
      </c>
      <c r="D50" s="316">
        <v>2526.8000000000002</v>
      </c>
      <c r="E50" s="274">
        <f t="shared" si="2"/>
        <v>-372</v>
      </c>
      <c r="F50" s="290">
        <f t="shared" si="3"/>
        <v>117.2637831817338</v>
      </c>
      <c r="G50" s="274">
        <f>'[1]додаток 1 '!F73+'[1]додаток 1 '!F98+'[1]додаток 1 '!F110</f>
        <v>9512.6</v>
      </c>
      <c r="H50" s="274">
        <v>9614.5</v>
      </c>
      <c r="I50" s="274">
        <f t="shared" si="4"/>
        <v>-101.89999999999964</v>
      </c>
      <c r="J50" s="290">
        <f t="shared" si="5"/>
        <v>101.0712108151294</v>
      </c>
      <c r="K50" s="291"/>
      <c r="L50" s="365">
        <f t="shared" si="9"/>
        <v>9614505.459999999</v>
      </c>
      <c r="N50" s="364">
        <v>547146.48</v>
      </c>
      <c r="O50" s="364">
        <f>3855694.65+5778</f>
        <v>3861472.65</v>
      </c>
      <c r="P50" s="364">
        <v>73036.38</v>
      </c>
      <c r="Q50" s="364">
        <v>143169.56</v>
      </c>
      <c r="R50" s="364">
        <v>4262335.87</v>
      </c>
      <c r="S50" s="364">
        <v>727344.52</v>
      </c>
      <c r="T50" s="368">
        <f t="shared" si="7"/>
        <v>3934509.03</v>
      </c>
      <c r="U50" s="368">
        <f t="shared" si="8"/>
        <v>5132849.9499999993</v>
      </c>
    </row>
    <row r="51" spans="1:21" s="119" customFormat="1" ht="18.75" x14ac:dyDescent="0.2">
      <c r="A51" s="162" t="s">
        <v>78</v>
      </c>
      <c r="B51" s="163">
        <v>1090</v>
      </c>
      <c r="C51" s="311">
        <f>'[1]додаток 1 '!J74+'[1]додаток 1 '!J99+'[1]додаток 1 '!J111</f>
        <v>133.4</v>
      </c>
      <c r="D51" s="316">
        <v>126.8</v>
      </c>
      <c r="E51" s="274">
        <f t="shared" si="2"/>
        <v>6.6000000000000085</v>
      </c>
      <c r="F51" s="290">
        <f t="shared" si="3"/>
        <v>95.052473763118442</v>
      </c>
      <c r="G51" s="274">
        <f>'[1]додаток 1 '!F74+'[1]додаток 1 '!F99+'[1]додаток 1 '!F111</f>
        <v>312.39999999999998</v>
      </c>
      <c r="H51" s="274">
        <v>365.8</v>
      </c>
      <c r="I51" s="274">
        <f t="shared" si="4"/>
        <v>-53.400000000000034</v>
      </c>
      <c r="J51" s="290">
        <f t="shared" si="5"/>
        <v>117.09346991037133</v>
      </c>
      <c r="K51" s="292" t="s">
        <v>309</v>
      </c>
      <c r="L51" s="365">
        <f t="shared" si="9"/>
        <v>365662.31</v>
      </c>
      <c r="O51" s="364">
        <f>44137.07+16387.62</f>
        <v>60524.69</v>
      </c>
      <c r="P51" s="364">
        <f>418+3824.8</f>
        <v>4242.8</v>
      </c>
      <c r="Q51" s="364"/>
      <c r="R51" s="364">
        <v>300894.82</v>
      </c>
      <c r="T51" s="368">
        <f t="shared" si="7"/>
        <v>64767.490000000005</v>
      </c>
      <c r="U51" s="368">
        <f t="shared" si="8"/>
        <v>300894.82</v>
      </c>
    </row>
    <row r="52" spans="1:21" s="119" customFormat="1" ht="18.75" x14ac:dyDescent="0.2">
      <c r="A52" s="162" t="s">
        <v>80</v>
      </c>
      <c r="B52" s="163">
        <v>1100</v>
      </c>
      <c r="C52" s="311">
        <f>'[1]додаток 1 '!J75+'[1]додаток 1 '!J100+'[1]додаток 1 '!J112</f>
        <v>278.20000000000005</v>
      </c>
      <c r="D52" s="316">
        <v>904.4</v>
      </c>
      <c r="E52" s="274">
        <f t="shared" si="2"/>
        <v>-626.19999999999993</v>
      </c>
      <c r="F52" s="290">
        <f t="shared" si="3"/>
        <v>325.08986340762033</v>
      </c>
      <c r="G52" s="274">
        <f>'[1]додаток 1 '!F75+'[1]додаток 1 '!F100+'[1]додаток 1 '!F112</f>
        <v>2058.9</v>
      </c>
      <c r="H52" s="274">
        <v>1906.6</v>
      </c>
      <c r="I52" s="274">
        <f t="shared" si="4"/>
        <v>152.30000000000018</v>
      </c>
      <c r="J52" s="290">
        <f t="shared" si="5"/>
        <v>92.60284617999902</v>
      </c>
      <c r="K52" s="291"/>
      <c r="L52" s="365">
        <f t="shared" si="9"/>
        <v>1906619.0999999999</v>
      </c>
      <c r="N52" s="364">
        <v>823192.4</v>
      </c>
      <c r="O52" s="364">
        <v>331809.43</v>
      </c>
      <c r="P52" s="367">
        <v>4200</v>
      </c>
      <c r="Q52" s="364">
        <v>745298.32</v>
      </c>
      <c r="R52" s="364">
        <v>2118.9499999999998</v>
      </c>
      <c r="T52" s="368">
        <f t="shared" si="7"/>
        <v>336009.43</v>
      </c>
      <c r="U52" s="368">
        <f t="shared" si="8"/>
        <v>747417.2699999999</v>
      </c>
    </row>
    <row r="53" spans="1:21" s="119" customFormat="1" ht="18.75" x14ac:dyDescent="0.2">
      <c r="A53" s="162" t="s">
        <v>82</v>
      </c>
      <c r="B53" s="163">
        <v>1110</v>
      </c>
      <c r="C53" s="311">
        <f>'[1]додаток 1 '!J89+'[1]додаток 1 '!J101+'[1]додаток 1 '!J113</f>
        <v>2</v>
      </c>
      <c r="D53" s="316">
        <v>0</v>
      </c>
      <c r="E53" s="274">
        <f t="shared" si="2"/>
        <v>2</v>
      </c>
      <c r="F53" s="290">
        <f t="shared" si="3"/>
        <v>0</v>
      </c>
      <c r="G53" s="274">
        <f>'[1]додаток 1 '!F89+'[1]додаток 1 '!F101+'[1]додаток 1 '!F113</f>
        <v>8.1</v>
      </c>
      <c r="H53" s="274">
        <v>6</v>
      </c>
      <c r="I53" s="274">
        <f t="shared" si="4"/>
        <v>2.0999999999999996</v>
      </c>
      <c r="J53" s="290">
        <f t="shared" si="5"/>
        <v>74.074074074074076</v>
      </c>
      <c r="K53" s="292"/>
      <c r="L53" s="365">
        <f t="shared" si="9"/>
        <v>6014.04</v>
      </c>
      <c r="Q53" s="364">
        <v>6014.04</v>
      </c>
      <c r="T53" s="368">
        <f t="shared" si="7"/>
        <v>0</v>
      </c>
      <c r="U53" s="368">
        <f t="shared" si="8"/>
        <v>6014.04</v>
      </c>
    </row>
    <row r="54" spans="1:21" s="119" customFormat="1" ht="18.75" x14ac:dyDescent="0.2">
      <c r="A54" s="162" t="s">
        <v>240</v>
      </c>
      <c r="B54" s="163">
        <v>1120</v>
      </c>
      <c r="C54" s="311">
        <f>'[1]додаток 1 '!J117</f>
        <v>1317.4</v>
      </c>
      <c r="D54" s="316">
        <f>D55+D56+D57+D59</f>
        <v>1245.4000000000001</v>
      </c>
      <c r="E54" s="274">
        <f t="shared" si="2"/>
        <v>72</v>
      </c>
      <c r="F54" s="290">
        <f t="shared" si="3"/>
        <v>94.534689540003029</v>
      </c>
      <c r="G54" s="274">
        <f>'[1]додаток 1 '!F117</f>
        <v>3011</v>
      </c>
      <c r="H54" s="274">
        <f>H55+H56+H57+H59</f>
        <v>2758.2999999999997</v>
      </c>
      <c r="I54" s="274">
        <f>G54-H54</f>
        <v>252.70000000000027</v>
      </c>
      <c r="J54" s="290">
        <f>H54/G54*100</f>
        <v>91.607439388907324</v>
      </c>
      <c r="K54" s="291"/>
      <c r="L54" s="365">
        <f t="shared" si="9"/>
        <v>0</v>
      </c>
      <c r="T54" s="368">
        <f t="shared" si="7"/>
        <v>0</v>
      </c>
      <c r="U54" s="368">
        <f t="shared" si="8"/>
        <v>0</v>
      </c>
    </row>
    <row r="55" spans="1:21" s="119" customFormat="1" ht="18.75" x14ac:dyDescent="0.2">
      <c r="A55" s="169" t="s">
        <v>241</v>
      </c>
      <c r="B55" s="163">
        <v>1121</v>
      </c>
      <c r="C55" s="311">
        <f>'[1]додаток 1 '!J118</f>
        <v>904.2</v>
      </c>
      <c r="D55" s="316">
        <v>868.1</v>
      </c>
      <c r="E55" s="274">
        <f t="shared" si="2"/>
        <v>36.100000000000023</v>
      </c>
      <c r="F55" s="290">
        <f t="shared" si="3"/>
        <v>96.007520460075199</v>
      </c>
      <c r="G55" s="274">
        <f>'[1]додаток 1 '!F118</f>
        <v>1785</v>
      </c>
      <c r="H55" s="274">
        <v>1739.9</v>
      </c>
      <c r="I55" s="274">
        <f>G55-H55</f>
        <v>45.099999999999909</v>
      </c>
      <c r="J55" s="290">
        <f>H55/G55*100</f>
        <v>97.473389355742299</v>
      </c>
      <c r="K55" s="291"/>
      <c r="L55" s="365">
        <f t="shared" si="9"/>
        <v>1739924.9</v>
      </c>
      <c r="O55" s="364">
        <v>1739924.9</v>
      </c>
      <c r="T55" s="368">
        <f t="shared" si="7"/>
        <v>1739924.9</v>
      </c>
      <c r="U55" s="368">
        <f t="shared" si="8"/>
        <v>0</v>
      </c>
    </row>
    <row r="56" spans="1:21" s="119" customFormat="1" ht="18.75" x14ac:dyDescent="0.2">
      <c r="A56" s="169" t="s">
        <v>242</v>
      </c>
      <c r="B56" s="163">
        <v>1122</v>
      </c>
      <c r="C56" s="311">
        <f>'[1]додаток 1 '!J119</f>
        <v>87.6</v>
      </c>
      <c r="D56" s="316">
        <v>23.2</v>
      </c>
      <c r="E56" s="274">
        <f t="shared" si="2"/>
        <v>64.399999999999991</v>
      </c>
      <c r="F56" s="290">
        <f t="shared" si="3"/>
        <v>26.484018264840181</v>
      </c>
      <c r="G56" s="274">
        <f>'[1]додаток 1 '!F119</f>
        <v>216</v>
      </c>
      <c r="H56" s="274">
        <v>71.5</v>
      </c>
      <c r="I56" s="274">
        <f>G56-H56</f>
        <v>144.5</v>
      </c>
      <c r="J56" s="290">
        <f>H56/G56*100</f>
        <v>33.101851851851855</v>
      </c>
      <c r="K56" s="291"/>
      <c r="L56" s="365">
        <f t="shared" si="9"/>
        <v>71457.48</v>
      </c>
      <c r="O56" s="364">
        <v>71457.48</v>
      </c>
      <c r="T56" s="368">
        <f t="shared" si="7"/>
        <v>71457.48</v>
      </c>
      <c r="U56" s="368">
        <f t="shared" si="8"/>
        <v>0</v>
      </c>
    </row>
    <row r="57" spans="1:21" s="119" customFormat="1" ht="18.75" x14ac:dyDescent="0.2">
      <c r="A57" s="169" t="s">
        <v>243</v>
      </c>
      <c r="B57" s="163">
        <v>1123</v>
      </c>
      <c r="C57" s="311">
        <f>'[1]додаток 1 '!J120</f>
        <v>311.3</v>
      </c>
      <c r="D57" s="316">
        <v>350.2</v>
      </c>
      <c r="E57" s="274">
        <f t="shared" si="2"/>
        <v>-38.899999999999977</v>
      </c>
      <c r="F57" s="290">
        <f t="shared" si="3"/>
        <v>112.49598458079022</v>
      </c>
      <c r="G57" s="274">
        <f>'[1]додаток 1 '!F120</f>
        <v>960</v>
      </c>
      <c r="H57" s="274">
        <v>925.3</v>
      </c>
      <c r="I57" s="274">
        <f t="shared" ref="I57:I64" si="10">G57-H57</f>
        <v>34.700000000000045</v>
      </c>
      <c r="J57" s="290">
        <f t="shared" ref="J57:J64" si="11">H57/G57*100</f>
        <v>96.385416666666657</v>
      </c>
      <c r="K57" s="291"/>
      <c r="L57" s="365">
        <f t="shared" si="9"/>
        <v>925327.41</v>
      </c>
      <c r="O57" s="364">
        <v>925327.41</v>
      </c>
      <c r="T57" s="368">
        <f t="shared" si="7"/>
        <v>925327.41</v>
      </c>
      <c r="U57" s="368">
        <f t="shared" si="8"/>
        <v>0</v>
      </c>
    </row>
    <row r="58" spans="1:21" s="119" customFormat="1" ht="18.75" x14ac:dyDescent="0.2">
      <c r="A58" s="169" t="s">
        <v>244</v>
      </c>
      <c r="B58" s="163">
        <v>1124</v>
      </c>
      <c r="C58" s="311"/>
      <c r="D58" s="316"/>
      <c r="E58" s="274">
        <f t="shared" si="2"/>
        <v>0</v>
      </c>
      <c r="F58" s="290"/>
      <c r="G58" s="274">
        <f>'[1]додаток 1 '!F121</f>
        <v>0</v>
      </c>
      <c r="H58" s="274">
        <f>D58</f>
        <v>0</v>
      </c>
      <c r="I58" s="274">
        <f t="shared" si="10"/>
        <v>0</v>
      </c>
      <c r="J58" s="290"/>
      <c r="K58" s="291"/>
      <c r="L58" s="365">
        <f t="shared" si="9"/>
        <v>0</v>
      </c>
      <c r="O58" s="364"/>
      <c r="T58" s="368">
        <f t="shared" si="7"/>
        <v>0</v>
      </c>
      <c r="U58" s="368">
        <f t="shared" si="8"/>
        <v>0</v>
      </c>
    </row>
    <row r="59" spans="1:21" s="119" customFormat="1" ht="18.75" x14ac:dyDescent="0.2">
      <c r="A59" s="169" t="s">
        <v>245</v>
      </c>
      <c r="B59" s="163">
        <v>1125</v>
      </c>
      <c r="C59" s="311">
        <f>'[1]додаток 1 '!J122</f>
        <v>14.3</v>
      </c>
      <c r="D59" s="316">
        <v>3.9</v>
      </c>
      <c r="E59" s="274">
        <f t="shared" si="2"/>
        <v>10.4</v>
      </c>
      <c r="F59" s="290">
        <f t="shared" si="3"/>
        <v>27.27272727272727</v>
      </c>
      <c r="G59" s="274">
        <f>'[1]додаток 1 '!F122</f>
        <v>50</v>
      </c>
      <c r="H59" s="274">
        <v>21.6</v>
      </c>
      <c r="I59" s="274">
        <f t="shared" si="10"/>
        <v>28.4</v>
      </c>
      <c r="J59" s="290">
        <f t="shared" si="11"/>
        <v>43.2</v>
      </c>
      <c r="K59" s="291"/>
      <c r="L59" s="365">
        <f t="shared" si="9"/>
        <v>21550.84</v>
      </c>
      <c r="O59" s="364">
        <v>21550.84</v>
      </c>
      <c r="T59" s="368">
        <f t="shared" si="7"/>
        <v>21550.84</v>
      </c>
      <c r="U59" s="368">
        <f t="shared" si="8"/>
        <v>0</v>
      </c>
    </row>
    <row r="60" spans="1:21" s="119" customFormat="1" ht="18.75" x14ac:dyDescent="0.2">
      <c r="A60" s="169" t="s">
        <v>246</v>
      </c>
      <c r="B60" s="163">
        <v>1126</v>
      </c>
      <c r="C60" s="312"/>
      <c r="D60" s="316"/>
      <c r="E60" s="274">
        <f t="shared" si="2"/>
        <v>0</v>
      </c>
      <c r="F60" s="290"/>
      <c r="G60" s="274">
        <f>'[1]додаток 1 '!F123</f>
        <v>0</v>
      </c>
      <c r="H60" s="274">
        <f>D60</f>
        <v>0</v>
      </c>
      <c r="I60" s="274">
        <f t="shared" si="10"/>
        <v>0</v>
      </c>
      <c r="J60" s="290"/>
      <c r="K60" s="291"/>
      <c r="L60" s="365">
        <f t="shared" si="9"/>
        <v>0</v>
      </c>
      <c r="T60" s="368">
        <f t="shared" si="7"/>
        <v>0</v>
      </c>
      <c r="U60" s="368">
        <f t="shared" si="8"/>
        <v>0</v>
      </c>
    </row>
    <row r="61" spans="1:21" s="119" customFormat="1" ht="37.5" x14ac:dyDescent="0.2">
      <c r="A61" s="169" t="s">
        <v>247</v>
      </c>
      <c r="B61" s="163">
        <v>1130</v>
      </c>
      <c r="C61" s="311">
        <v>9.6999999999999993</v>
      </c>
      <c r="D61" s="316">
        <v>10.199999999999999</v>
      </c>
      <c r="E61" s="274">
        <f t="shared" si="2"/>
        <v>-0.5</v>
      </c>
      <c r="F61" s="290">
        <f t="shared" si="3"/>
        <v>105.15463917525774</v>
      </c>
      <c r="G61" s="274">
        <v>30</v>
      </c>
      <c r="H61" s="274">
        <v>19.899999999999999</v>
      </c>
      <c r="I61" s="274">
        <f t="shared" si="10"/>
        <v>10.100000000000001</v>
      </c>
      <c r="J61" s="290">
        <f t="shared" si="11"/>
        <v>66.333333333333329</v>
      </c>
      <c r="K61" s="291"/>
      <c r="L61" s="365">
        <f t="shared" si="9"/>
        <v>19945</v>
      </c>
      <c r="Q61" s="364">
        <v>19945</v>
      </c>
      <c r="T61" s="368">
        <f t="shared" si="7"/>
        <v>0</v>
      </c>
      <c r="U61" s="368">
        <f t="shared" si="8"/>
        <v>19945</v>
      </c>
    </row>
    <row r="62" spans="1:21" s="119" customFormat="1" ht="18.75" x14ac:dyDescent="0.2">
      <c r="A62" s="169" t="s">
        <v>248</v>
      </c>
      <c r="B62" s="163">
        <v>1140</v>
      </c>
      <c r="C62" s="311">
        <f>('[1]додаток 1 '!J90+'[1]додаток 1 '!J91+'[1]додаток 1 '!J102+'[1]додаток 1 '!J103+'[1]додаток 1 '!J114+'[1]додаток 1 '!J115)</f>
        <v>442</v>
      </c>
      <c r="D62" s="316">
        <v>765.5</v>
      </c>
      <c r="E62" s="274">
        <f t="shared" si="2"/>
        <v>-323.5</v>
      </c>
      <c r="F62" s="290">
        <f t="shared" si="3"/>
        <v>173.19004524886878</v>
      </c>
      <c r="G62" s="274">
        <f>'[1]додаток 1 '!F91+'[1]додаток 1 '!F102+'[1]додаток 1 '!F103+'[1]додаток 1 '!F114+'[1]додаток 1 '!F115</f>
        <v>1653.5000000000002</v>
      </c>
      <c r="H62" s="274">
        <v>1646.6</v>
      </c>
      <c r="I62" s="274">
        <f t="shared" si="10"/>
        <v>6.9000000000003183</v>
      </c>
      <c r="J62" s="290">
        <f t="shared" si="11"/>
        <v>99.582703356516461</v>
      </c>
      <c r="K62" s="291"/>
      <c r="L62" s="365">
        <f t="shared" si="9"/>
        <v>1646554.86</v>
      </c>
      <c r="O62" s="364">
        <v>1646554.86</v>
      </c>
      <c r="T62" s="368">
        <f t="shared" si="7"/>
        <v>1646554.86</v>
      </c>
      <c r="U62" s="368">
        <f t="shared" si="8"/>
        <v>0</v>
      </c>
    </row>
    <row r="63" spans="1:21" s="119" customFormat="1" ht="18.75" x14ac:dyDescent="0.2">
      <c r="A63" s="162" t="s">
        <v>249</v>
      </c>
      <c r="B63" s="163">
        <v>1150</v>
      </c>
      <c r="C63" s="311">
        <v>38</v>
      </c>
      <c r="D63" s="316">
        <v>7.7</v>
      </c>
      <c r="E63" s="274">
        <f t="shared" si="2"/>
        <v>30.3</v>
      </c>
      <c r="F63" s="290">
        <f t="shared" si="3"/>
        <v>20.263157894736842</v>
      </c>
      <c r="G63" s="274">
        <v>62.3</v>
      </c>
      <c r="H63" s="274">
        <v>12.7</v>
      </c>
      <c r="I63" s="274">
        <f t="shared" si="10"/>
        <v>49.599999999999994</v>
      </c>
      <c r="J63" s="290">
        <f t="shared" si="11"/>
        <v>20.385232744783309</v>
      </c>
      <c r="K63" s="293" t="s">
        <v>310</v>
      </c>
      <c r="L63" s="365">
        <f t="shared" si="9"/>
        <v>12656.17</v>
      </c>
      <c r="Q63" s="364">
        <f>5988.35+6667.82</f>
        <v>12656.17</v>
      </c>
      <c r="T63" s="368">
        <f t="shared" si="7"/>
        <v>0</v>
      </c>
      <c r="U63" s="368">
        <f t="shared" si="8"/>
        <v>12656.17</v>
      </c>
    </row>
    <row r="64" spans="1:21" s="119" customFormat="1" ht="18.75" x14ac:dyDescent="0.2">
      <c r="A64" s="162" t="s">
        <v>306</v>
      </c>
      <c r="B64" s="163">
        <v>1160</v>
      </c>
      <c r="C64" s="311">
        <v>62.7</v>
      </c>
      <c r="D64" s="316">
        <v>1602.1</v>
      </c>
      <c r="E64" s="274">
        <f t="shared" si="2"/>
        <v>-1539.3999999999999</v>
      </c>
      <c r="F64" s="290">
        <f t="shared" si="3"/>
        <v>2555.1834130781499</v>
      </c>
      <c r="G64" s="337">
        <v>268.7</v>
      </c>
      <c r="H64" s="274">
        <v>3008.1</v>
      </c>
      <c r="I64" s="274">
        <f t="shared" si="10"/>
        <v>-2739.4</v>
      </c>
      <c r="J64" s="290">
        <f t="shared" si="11"/>
        <v>1119.5013025679198</v>
      </c>
      <c r="K64" s="317"/>
      <c r="L64" s="365">
        <f t="shared" si="9"/>
        <v>3008100</v>
      </c>
      <c r="O64" s="367">
        <v>3008100</v>
      </c>
      <c r="T64" s="368">
        <f t="shared" si="7"/>
        <v>3008100</v>
      </c>
      <c r="U64" s="368">
        <f t="shared" si="8"/>
        <v>0</v>
      </c>
    </row>
    <row r="65" spans="1:21" s="119" customFormat="1" ht="18.75" x14ac:dyDescent="0.2">
      <c r="A65" s="162" t="s">
        <v>250</v>
      </c>
      <c r="B65" s="163">
        <v>1170</v>
      </c>
      <c r="C65" s="283">
        <f>C66</f>
        <v>0</v>
      </c>
      <c r="D65" s="320"/>
      <c r="E65" s="283"/>
      <c r="F65" s="164"/>
      <c r="G65" s="274">
        <f>G66</f>
        <v>0</v>
      </c>
      <c r="H65" s="274"/>
      <c r="I65" s="165"/>
      <c r="J65" s="166"/>
      <c r="K65" s="167"/>
      <c r="L65" s="365">
        <f t="shared" si="9"/>
        <v>0</v>
      </c>
      <c r="T65" s="368">
        <f t="shared" si="7"/>
        <v>0</v>
      </c>
      <c r="U65" s="368">
        <f t="shared" si="8"/>
        <v>0</v>
      </c>
    </row>
    <row r="66" spans="1:21" s="119" customFormat="1" ht="18.75" x14ac:dyDescent="0.2">
      <c r="A66" s="318" t="s">
        <v>313</v>
      </c>
      <c r="B66" s="163">
        <v>1171</v>
      </c>
      <c r="C66" s="283">
        <f>'[1]додаток 1 '!I140</f>
        <v>0</v>
      </c>
      <c r="D66" s="320"/>
      <c r="E66" s="283"/>
      <c r="F66" s="164"/>
      <c r="G66" s="274"/>
      <c r="H66" s="274"/>
      <c r="I66" s="165"/>
      <c r="J66" s="166"/>
      <c r="K66" s="167"/>
    </row>
    <row r="67" spans="1:21" s="119" customFormat="1" ht="18.75" x14ac:dyDescent="0.2">
      <c r="A67" s="162" t="s">
        <v>251</v>
      </c>
      <c r="B67" s="163">
        <v>1180</v>
      </c>
      <c r="C67" s="283"/>
      <c r="D67" s="320"/>
      <c r="E67" s="283"/>
      <c r="F67" s="164"/>
      <c r="G67" s="274"/>
      <c r="H67" s="274"/>
      <c r="I67" s="165"/>
      <c r="J67" s="166"/>
      <c r="K67" s="167"/>
    </row>
    <row r="68" spans="1:21" s="119" customFormat="1" ht="18.75" x14ac:dyDescent="0.2">
      <c r="A68" s="162" t="s">
        <v>172</v>
      </c>
      <c r="B68" s="163">
        <v>1190</v>
      </c>
      <c r="C68" s="165">
        <f>C35+C36+C37+C39</f>
        <v>15684.9</v>
      </c>
      <c r="D68" s="274">
        <f>D35+D36+D37+D38+D39</f>
        <v>20995.699999999997</v>
      </c>
      <c r="E68" s="165">
        <f>C68-D68</f>
        <v>-5310.7999999999975</v>
      </c>
      <c r="F68" s="166">
        <f>D68/C68*100</f>
        <v>133.85931692264532</v>
      </c>
      <c r="G68" s="165">
        <f>G35+G36+G37+G39</f>
        <v>72711.199999999997</v>
      </c>
      <c r="H68" s="274">
        <f>H35+H36+H37+H38+H39</f>
        <v>74700.800000000017</v>
      </c>
      <c r="I68" s="165">
        <f>G68-H68</f>
        <v>-1989.6000000000204</v>
      </c>
      <c r="J68" s="166">
        <f>H68/G68*100</f>
        <v>102.73630472334389</v>
      </c>
      <c r="K68" s="313"/>
    </row>
    <row r="69" spans="1:21" s="119" customFormat="1" ht="18.75" x14ac:dyDescent="0.2">
      <c r="A69" s="162" t="s">
        <v>173</v>
      </c>
      <c r="B69" s="163">
        <v>1200</v>
      </c>
      <c r="C69" s="165">
        <f>C47+C48+C49+C50+C51+C52+C53+C54+C61+C62+C63+C64+C65</f>
        <v>15684.900000000001</v>
      </c>
      <c r="D69" s="274">
        <f>SUM(D47:D66)-D54</f>
        <v>22739.7</v>
      </c>
      <c r="E69" s="165">
        <f>C69-D69</f>
        <v>-7054.7999999999993</v>
      </c>
      <c r="F69" s="166">
        <f>D69/C69*100</f>
        <v>144.97829122276841</v>
      </c>
      <c r="G69" s="165">
        <f>G47+G48+G49+G50+G51+G52+G53+G54+G61+G62+G63+G64+G65</f>
        <v>72711.199999999997</v>
      </c>
      <c r="H69" s="274">
        <f>SUM(H47:H66)-H54</f>
        <v>73156.700000000012</v>
      </c>
      <c r="I69" s="165">
        <f>G69-H69</f>
        <v>-445.50000000001455</v>
      </c>
      <c r="J69" s="166">
        <f>H69/G69*100</f>
        <v>100.6126979062373</v>
      </c>
      <c r="K69" s="167"/>
    </row>
    <row r="70" spans="1:21" s="119" customFormat="1" ht="19.5" thickBot="1" x14ac:dyDescent="0.25">
      <c r="A70" s="170" t="s">
        <v>174</v>
      </c>
      <c r="B70" s="171">
        <v>1210</v>
      </c>
      <c r="C70" s="173">
        <f>C68-C69</f>
        <v>0</v>
      </c>
      <c r="D70" s="319">
        <f>D68-D69</f>
        <v>-1744.0000000000036</v>
      </c>
      <c r="E70" s="285"/>
      <c r="F70" s="172"/>
      <c r="G70" s="257">
        <f>G68-G69</f>
        <v>0</v>
      </c>
      <c r="H70" s="319">
        <f>H68-H69</f>
        <v>1544.1000000000058</v>
      </c>
      <c r="I70" s="165"/>
      <c r="J70" s="166"/>
      <c r="K70" s="174"/>
    </row>
    <row r="71" spans="1:21" s="159" customFormat="1" ht="19.5" thickBot="1" x14ac:dyDescent="0.25">
      <c r="A71" s="150" t="s">
        <v>175</v>
      </c>
      <c r="B71" s="151"/>
      <c r="C71" s="286"/>
      <c r="D71" s="338"/>
      <c r="E71" s="287"/>
      <c r="F71" s="175"/>
      <c r="G71" s="256"/>
      <c r="H71" s="339"/>
      <c r="I71" s="176"/>
      <c r="J71" s="177"/>
      <c r="K71" s="178"/>
    </row>
    <row r="72" spans="1:21" s="119" customFormat="1" ht="45.75" customHeight="1" x14ac:dyDescent="0.2">
      <c r="A72" s="162" t="s">
        <v>176</v>
      </c>
      <c r="B72" s="163">
        <v>2010</v>
      </c>
      <c r="C72" s="283">
        <f>'[1]додаток 1 '!J132</f>
        <v>1568.5</v>
      </c>
      <c r="D72" s="320">
        <v>2566.1999999999998</v>
      </c>
      <c r="E72" s="165">
        <f>C72-D72</f>
        <v>-997.69999999999982</v>
      </c>
      <c r="F72" s="166">
        <f>D72/C72*100</f>
        <v>163.60854319413451</v>
      </c>
      <c r="G72" s="165">
        <f>'[1]додаток 1 '!F132</f>
        <v>9031.2000000000007</v>
      </c>
      <c r="H72" s="274">
        <v>8944.4</v>
      </c>
      <c r="I72" s="165">
        <f>G72-H72</f>
        <v>86.800000000001091</v>
      </c>
      <c r="J72" s="166">
        <f>H72/G72*100</f>
        <v>99.038887412525455</v>
      </c>
      <c r="K72" s="167"/>
    </row>
    <row r="73" spans="1:21" s="119" customFormat="1" ht="37.5" x14ac:dyDescent="0.2">
      <c r="A73" s="162" t="s">
        <v>177</v>
      </c>
      <c r="B73" s="163">
        <v>2020</v>
      </c>
      <c r="C73" s="283">
        <f>'[1]додаток 1 '!J133</f>
        <v>1830.9</v>
      </c>
      <c r="D73" s="320">
        <v>2443.8000000000002</v>
      </c>
      <c r="E73" s="165">
        <f>C73-D73</f>
        <v>-612.90000000000009</v>
      </c>
      <c r="F73" s="166">
        <f>D73/C73*100</f>
        <v>133.47533999672291</v>
      </c>
      <c r="G73" s="165">
        <f>'[1]додаток 1 '!F133</f>
        <v>8754.6999999999989</v>
      </c>
      <c r="H73" s="274">
        <v>8492.7000000000007</v>
      </c>
      <c r="I73" s="165">
        <f>G73-H73</f>
        <v>261.99999999999818</v>
      </c>
      <c r="J73" s="166">
        <f>H73/G73*100</f>
        <v>97.007321781443139</v>
      </c>
      <c r="K73" s="167"/>
    </row>
    <row r="74" spans="1:21" s="119" customFormat="1" ht="18.75" x14ac:dyDescent="0.2">
      <c r="A74" s="162" t="s">
        <v>178</v>
      </c>
      <c r="B74" s="163">
        <v>2030</v>
      </c>
      <c r="C74" s="283"/>
      <c r="D74" s="320"/>
      <c r="E74" s="165">
        <f>C74-D74</f>
        <v>0</v>
      </c>
      <c r="F74" s="166" t="e">
        <f>D74/C74*100</f>
        <v>#DIV/0!</v>
      </c>
      <c r="G74" s="165">
        <f>C74</f>
        <v>0</v>
      </c>
      <c r="H74" s="274">
        <f>D74</f>
        <v>0</v>
      </c>
      <c r="I74" s="165">
        <f>G74-H74</f>
        <v>0</v>
      </c>
      <c r="J74" s="166" t="e">
        <f>H74/G74*100</f>
        <v>#DIV/0!</v>
      </c>
      <c r="K74" s="167"/>
    </row>
    <row r="75" spans="1:21" s="119" customFormat="1" ht="19.5" thickBot="1" x14ac:dyDescent="0.25">
      <c r="A75" s="170" t="s">
        <v>179</v>
      </c>
      <c r="B75" s="171">
        <v>2040</v>
      </c>
      <c r="C75" s="283"/>
      <c r="D75" s="321"/>
      <c r="E75" s="165">
        <f>C75-D75</f>
        <v>0</v>
      </c>
      <c r="F75" s="166" t="e">
        <f>D75/C75*100</f>
        <v>#DIV/0!</v>
      </c>
      <c r="G75" s="165">
        <f>C75</f>
        <v>0</v>
      </c>
      <c r="H75" s="274">
        <f>D75</f>
        <v>0</v>
      </c>
      <c r="I75" s="165">
        <f>G75-H75</f>
        <v>0</v>
      </c>
      <c r="J75" s="166" t="e">
        <f>H75/G75*100</f>
        <v>#DIV/0!</v>
      </c>
      <c r="K75" s="174"/>
    </row>
    <row r="76" spans="1:21" s="159" customFormat="1" ht="19.5" thickBot="1" x14ac:dyDescent="0.25">
      <c r="A76" s="150" t="s">
        <v>180</v>
      </c>
      <c r="B76" s="151"/>
      <c r="C76" s="286"/>
      <c r="D76" s="338"/>
      <c r="E76" s="287"/>
      <c r="F76" s="175"/>
      <c r="G76" s="176"/>
      <c r="H76" s="339"/>
      <c r="I76" s="176"/>
      <c r="J76" s="177"/>
      <c r="K76" s="178"/>
    </row>
    <row r="77" spans="1:21" s="119" customFormat="1" ht="18.75" x14ac:dyDescent="0.2">
      <c r="A77" s="162" t="s">
        <v>181</v>
      </c>
      <c r="B77" s="163">
        <v>3010</v>
      </c>
      <c r="C77" s="340">
        <f>C78</f>
        <v>0</v>
      </c>
      <c r="D77" s="340">
        <f>D78</f>
        <v>0</v>
      </c>
      <c r="E77" s="274">
        <f>C77-D77</f>
        <v>0</v>
      </c>
      <c r="F77" s="290" t="e">
        <f>D77/C77*100</f>
        <v>#DIV/0!</v>
      </c>
      <c r="G77" s="340">
        <f>G78</f>
        <v>0</v>
      </c>
      <c r="H77" s="340">
        <f>H78</f>
        <v>0</v>
      </c>
      <c r="I77" s="274">
        <f>G77-H77</f>
        <v>0</v>
      </c>
      <c r="J77" s="290" t="e">
        <f>H77/G77*100</f>
        <v>#DIV/0!</v>
      </c>
      <c r="K77" s="167"/>
    </row>
    <row r="78" spans="1:21" s="119" customFormat="1" ht="39.75" customHeight="1" x14ac:dyDescent="0.2">
      <c r="A78" s="169" t="s">
        <v>182</v>
      </c>
      <c r="B78" s="163">
        <v>3011</v>
      </c>
      <c r="C78" s="340">
        <v>0</v>
      </c>
      <c r="D78" s="320">
        <v>0</v>
      </c>
      <c r="E78" s="274">
        <f>C78-D78</f>
        <v>0</v>
      </c>
      <c r="F78" s="290" t="e">
        <f>D78/C78*100</f>
        <v>#DIV/0!</v>
      </c>
      <c r="G78" s="340">
        <v>0</v>
      </c>
      <c r="H78" s="320">
        <v>0</v>
      </c>
      <c r="I78" s="274">
        <f t="shared" ref="I78:I86" si="12">G78-H78</f>
        <v>0</v>
      </c>
      <c r="J78" s="290" t="e">
        <f t="shared" ref="J78:J86" si="13">H78/G78*100</f>
        <v>#DIV/0!</v>
      </c>
      <c r="K78" s="167"/>
    </row>
    <row r="79" spans="1:21" s="119" customFormat="1" ht="18.75" x14ac:dyDescent="0.2">
      <c r="A79" s="169" t="s">
        <v>183</v>
      </c>
      <c r="B79" s="163">
        <v>3020</v>
      </c>
      <c r="C79" s="340">
        <f>SUM(C80:C85)</f>
        <v>3790.2</v>
      </c>
      <c r="D79" s="340">
        <f>SUM(D80:D85)</f>
        <v>4000.6</v>
      </c>
      <c r="E79" s="274">
        <f>C79-D79</f>
        <v>-210.40000000000009</v>
      </c>
      <c r="F79" s="290">
        <f>D79/C79*100</f>
        <v>105.55115825022428</v>
      </c>
      <c r="G79" s="340">
        <f>SUM(G80:G85)</f>
        <v>14591</v>
      </c>
      <c r="H79" s="340">
        <f>SUM(H80:H85)</f>
        <v>14590.9</v>
      </c>
      <c r="I79" s="274">
        <f t="shared" si="12"/>
        <v>0.1000000000003638</v>
      </c>
      <c r="J79" s="290">
        <f t="shared" si="13"/>
        <v>99.999314646014653</v>
      </c>
      <c r="K79" s="167"/>
    </row>
    <row r="80" spans="1:21" s="119" customFormat="1" ht="25.5" x14ac:dyDescent="0.2">
      <c r="A80" s="169" t="s">
        <v>184</v>
      </c>
      <c r="B80" s="163">
        <v>3021</v>
      </c>
      <c r="C80" s="340">
        <v>3489.1</v>
      </c>
      <c r="D80" s="320">
        <v>3489.1</v>
      </c>
      <c r="E80" s="274">
        <f>C80-D80</f>
        <v>0</v>
      </c>
      <c r="F80" s="290">
        <f>D80/C80*100</f>
        <v>100</v>
      </c>
      <c r="G80" s="274">
        <v>11852.4</v>
      </c>
      <c r="H80" s="274">
        <v>11852.4</v>
      </c>
      <c r="I80" s="274">
        <f t="shared" si="12"/>
        <v>0</v>
      </c>
      <c r="J80" s="290">
        <f t="shared" si="13"/>
        <v>100</v>
      </c>
      <c r="K80" s="273" t="s">
        <v>317</v>
      </c>
    </row>
    <row r="81" spans="1:11" s="119" customFormat="1" ht="18.75" x14ac:dyDescent="0.2">
      <c r="A81" s="169" t="s">
        <v>186</v>
      </c>
      <c r="B81" s="163">
        <v>3022</v>
      </c>
      <c r="C81" s="340">
        <v>101.7</v>
      </c>
      <c r="D81" s="320">
        <v>312.10000000000002</v>
      </c>
      <c r="E81" s="274">
        <f t="shared" ref="E81:E86" si="14">C81-D81</f>
        <v>-210.40000000000003</v>
      </c>
      <c r="F81" s="290">
        <f t="shared" ref="F81:F86" si="15">D81/C81*100</f>
        <v>306.88298918387414</v>
      </c>
      <c r="G81" s="274">
        <v>2161.6</v>
      </c>
      <c r="H81" s="274">
        <v>2161.5</v>
      </c>
      <c r="I81" s="274">
        <f t="shared" si="12"/>
        <v>9.9999999999909051E-2</v>
      </c>
      <c r="J81" s="290">
        <f t="shared" si="13"/>
        <v>99.99537379718727</v>
      </c>
      <c r="K81" s="167"/>
    </row>
    <row r="82" spans="1:11" s="119" customFormat="1" ht="37.5" x14ac:dyDescent="0.2">
      <c r="A82" s="169" t="s">
        <v>188</v>
      </c>
      <c r="B82" s="163">
        <v>3023</v>
      </c>
      <c r="C82" s="340">
        <v>199.4</v>
      </c>
      <c r="D82" s="320">
        <v>199.4</v>
      </c>
      <c r="E82" s="274">
        <f t="shared" si="14"/>
        <v>0</v>
      </c>
      <c r="F82" s="290">
        <f t="shared" si="15"/>
        <v>100</v>
      </c>
      <c r="G82" s="274">
        <v>577</v>
      </c>
      <c r="H82" s="274">
        <v>577</v>
      </c>
      <c r="I82" s="274">
        <f t="shared" si="12"/>
        <v>0</v>
      </c>
      <c r="J82" s="290">
        <f t="shared" si="13"/>
        <v>100</v>
      </c>
      <c r="K82" s="167"/>
    </row>
    <row r="83" spans="1:11" s="119" customFormat="1" ht="18.75" x14ac:dyDescent="0.2">
      <c r="A83" s="169" t="s">
        <v>190</v>
      </c>
      <c r="B83" s="163">
        <v>3024</v>
      </c>
      <c r="C83" s="340"/>
      <c r="D83" s="320"/>
      <c r="E83" s="274">
        <f t="shared" si="14"/>
        <v>0</v>
      </c>
      <c r="F83" s="290" t="e">
        <f t="shared" si="15"/>
        <v>#DIV/0!</v>
      </c>
      <c r="G83" s="274">
        <f t="shared" ref="G83:H86" si="16">C83</f>
        <v>0</v>
      </c>
      <c r="H83" s="274">
        <f t="shared" si="16"/>
        <v>0</v>
      </c>
      <c r="I83" s="274">
        <f t="shared" si="12"/>
        <v>0</v>
      </c>
      <c r="J83" s="290" t="e">
        <f t="shared" si="13"/>
        <v>#DIV/0!</v>
      </c>
      <c r="K83" s="167"/>
    </row>
    <row r="84" spans="1:11" s="119" customFormat="1" ht="37.5" x14ac:dyDescent="0.2">
      <c r="A84" s="169" t="s">
        <v>192</v>
      </c>
      <c r="B84" s="163">
        <v>3025</v>
      </c>
      <c r="C84" s="340"/>
      <c r="D84" s="320"/>
      <c r="E84" s="274">
        <f t="shared" si="14"/>
        <v>0</v>
      </c>
      <c r="F84" s="290" t="e">
        <f t="shared" si="15"/>
        <v>#DIV/0!</v>
      </c>
      <c r="G84" s="274">
        <f t="shared" si="16"/>
        <v>0</v>
      </c>
      <c r="H84" s="274">
        <f t="shared" si="16"/>
        <v>0</v>
      </c>
      <c r="I84" s="274">
        <f t="shared" si="12"/>
        <v>0</v>
      </c>
      <c r="J84" s="290" t="e">
        <f t="shared" si="13"/>
        <v>#DIV/0!</v>
      </c>
      <c r="K84" s="167"/>
    </row>
    <row r="85" spans="1:11" s="119" customFormat="1" ht="18.75" x14ac:dyDescent="0.2">
      <c r="A85" s="169" t="s">
        <v>194</v>
      </c>
      <c r="B85" s="163">
        <v>3026</v>
      </c>
      <c r="C85" s="340"/>
      <c r="D85" s="320"/>
      <c r="E85" s="274">
        <f t="shared" si="14"/>
        <v>0</v>
      </c>
      <c r="F85" s="290" t="e">
        <f t="shared" si="15"/>
        <v>#DIV/0!</v>
      </c>
      <c r="G85" s="274">
        <f t="shared" si="16"/>
        <v>0</v>
      </c>
      <c r="H85" s="274">
        <f t="shared" si="16"/>
        <v>0</v>
      </c>
      <c r="I85" s="274">
        <f t="shared" si="12"/>
        <v>0</v>
      </c>
      <c r="J85" s="290" t="e">
        <f t="shared" si="13"/>
        <v>#DIV/0!</v>
      </c>
      <c r="K85" s="167"/>
    </row>
    <row r="86" spans="1:11" s="119" customFormat="1" ht="19.5" thickBot="1" x14ac:dyDescent="0.25">
      <c r="A86" s="179" t="s">
        <v>252</v>
      </c>
      <c r="B86" s="171">
        <v>3030</v>
      </c>
      <c r="C86" s="341">
        <v>71450.2</v>
      </c>
      <c r="D86" s="321">
        <v>71515.7</v>
      </c>
      <c r="E86" s="274">
        <f t="shared" si="14"/>
        <v>-65.5</v>
      </c>
      <c r="F86" s="290">
        <f t="shared" si="15"/>
        <v>100.09167224164524</v>
      </c>
      <c r="G86" s="274">
        <f t="shared" si="16"/>
        <v>71450.2</v>
      </c>
      <c r="H86" s="274">
        <v>71515.7</v>
      </c>
      <c r="I86" s="274">
        <f t="shared" si="12"/>
        <v>-65.5</v>
      </c>
      <c r="J86" s="290">
        <f t="shared" si="13"/>
        <v>100.09167224164524</v>
      </c>
      <c r="K86" s="310"/>
    </row>
    <row r="87" spans="1:11" s="159" customFormat="1" ht="19.5" thickBot="1" x14ac:dyDescent="0.25">
      <c r="A87" s="180" t="s">
        <v>253</v>
      </c>
      <c r="B87" s="151"/>
      <c r="C87" s="342"/>
      <c r="D87" s="338"/>
      <c r="E87" s="343"/>
      <c r="F87" s="344"/>
      <c r="G87" s="339"/>
      <c r="H87" s="339"/>
      <c r="I87" s="339"/>
      <c r="J87" s="345"/>
      <c r="K87" s="178"/>
    </row>
    <row r="88" spans="1:11" s="119" customFormat="1" ht="18.75" x14ac:dyDescent="0.2">
      <c r="A88" s="169" t="s">
        <v>199</v>
      </c>
      <c r="B88" s="163">
        <v>4010</v>
      </c>
      <c r="C88" s="340">
        <v>625.6</v>
      </c>
      <c r="D88" s="340">
        <v>625.6</v>
      </c>
      <c r="E88" s="274">
        <f t="shared" ref="E88:E97" si="17">C88-D88</f>
        <v>0</v>
      </c>
      <c r="F88" s="290">
        <f t="shared" ref="F88:F97" si="18">D88/C88*100</f>
        <v>100</v>
      </c>
      <c r="G88" s="340">
        <f>SUM(G89:G92)</f>
        <v>1496.7</v>
      </c>
      <c r="H88" s="340">
        <f>SUM(H89:H92)</f>
        <v>1496.6</v>
      </c>
      <c r="I88" s="274">
        <f>G88-H88</f>
        <v>0.10000000000013642</v>
      </c>
      <c r="J88" s="290">
        <f>H88/G88*100</f>
        <v>99.993318634328844</v>
      </c>
      <c r="K88" s="167"/>
    </row>
    <row r="89" spans="1:11" s="119" customFormat="1" ht="18.75" x14ac:dyDescent="0.2">
      <c r="A89" s="169" t="s">
        <v>200</v>
      </c>
      <c r="B89" s="163">
        <v>4011</v>
      </c>
      <c r="C89" s="340"/>
      <c r="D89" s="320"/>
      <c r="E89" s="274">
        <f t="shared" si="17"/>
        <v>0</v>
      </c>
      <c r="F89" s="290" t="e">
        <f t="shared" si="18"/>
        <v>#DIV/0!</v>
      </c>
      <c r="G89" s="274">
        <f t="shared" ref="G89:H97" si="19">C89</f>
        <v>0</v>
      </c>
      <c r="H89" s="274">
        <f t="shared" si="19"/>
        <v>0</v>
      </c>
      <c r="I89" s="274">
        <f t="shared" ref="I89:I97" si="20">G89-H89</f>
        <v>0</v>
      </c>
      <c r="J89" s="290" t="e">
        <f t="shared" ref="J89:J97" si="21">H89/G89*100</f>
        <v>#DIV/0!</v>
      </c>
      <c r="K89" s="167"/>
    </row>
    <row r="90" spans="1:11" s="119" customFormat="1" ht="18.75" x14ac:dyDescent="0.2">
      <c r="A90" s="169" t="s">
        <v>202</v>
      </c>
      <c r="B90" s="163">
        <v>4012</v>
      </c>
      <c r="C90" s="340"/>
      <c r="D90" s="320"/>
      <c r="E90" s="274">
        <f t="shared" si="17"/>
        <v>0</v>
      </c>
      <c r="F90" s="290" t="e">
        <f t="shared" si="18"/>
        <v>#DIV/0!</v>
      </c>
      <c r="G90" s="274">
        <f t="shared" si="19"/>
        <v>0</v>
      </c>
      <c r="H90" s="274">
        <f t="shared" si="19"/>
        <v>0</v>
      </c>
      <c r="I90" s="274">
        <f t="shared" si="20"/>
        <v>0</v>
      </c>
      <c r="J90" s="290" t="e">
        <f t="shared" si="21"/>
        <v>#DIV/0!</v>
      </c>
      <c r="K90" s="167"/>
    </row>
    <row r="91" spans="1:11" s="119" customFormat="1" ht="18.75" x14ac:dyDescent="0.2">
      <c r="A91" s="169" t="s">
        <v>204</v>
      </c>
      <c r="B91" s="163">
        <v>4013</v>
      </c>
      <c r="C91" s="340">
        <v>279.10000000000002</v>
      </c>
      <c r="D91" s="320">
        <v>279.10000000000002</v>
      </c>
      <c r="E91" s="274">
        <f t="shared" si="17"/>
        <v>0</v>
      </c>
      <c r="F91" s="290">
        <f t="shared" si="18"/>
        <v>100</v>
      </c>
      <c r="G91" s="274">
        <v>1496.7</v>
      </c>
      <c r="H91" s="274">
        <v>1496.6</v>
      </c>
      <c r="I91" s="274">
        <f t="shared" si="20"/>
        <v>0.10000000000013642</v>
      </c>
      <c r="J91" s="290">
        <f t="shared" si="21"/>
        <v>99.993318634328844</v>
      </c>
      <c r="K91" s="167"/>
    </row>
    <row r="92" spans="1:11" s="119" customFormat="1" ht="18.75" x14ac:dyDescent="0.2">
      <c r="A92" s="162" t="s">
        <v>206</v>
      </c>
      <c r="B92" s="163">
        <v>4020</v>
      </c>
      <c r="C92" s="340"/>
      <c r="D92" s="320"/>
      <c r="E92" s="274">
        <f t="shared" si="17"/>
        <v>0</v>
      </c>
      <c r="F92" s="290" t="e">
        <f t="shared" si="18"/>
        <v>#DIV/0!</v>
      </c>
      <c r="G92" s="274"/>
      <c r="H92" s="274"/>
      <c r="I92" s="274">
        <f t="shared" si="20"/>
        <v>0</v>
      </c>
      <c r="J92" s="290" t="e">
        <f t="shared" si="21"/>
        <v>#DIV/0!</v>
      </c>
      <c r="K92" s="325"/>
    </row>
    <row r="93" spans="1:11" s="119" customFormat="1" ht="37.5" x14ac:dyDescent="0.2">
      <c r="A93" s="162" t="s">
        <v>207</v>
      </c>
      <c r="B93" s="163">
        <v>4030</v>
      </c>
      <c r="C93" s="340">
        <v>0</v>
      </c>
      <c r="D93" s="340">
        <f>SUM(D94:D97)</f>
        <v>0</v>
      </c>
      <c r="E93" s="274">
        <f t="shared" si="17"/>
        <v>0</v>
      </c>
      <c r="F93" s="290" t="e">
        <f t="shared" si="18"/>
        <v>#DIV/0!</v>
      </c>
      <c r="G93" s="340">
        <v>0</v>
      </c>
      <c r="H93" s="340">
        <f>SUM(H94:H97)</f>
        <v>0</v>
      </c>
      <c r="I93" s="274">
        <f t="shared" si="20"/>
        <v>0</v>
      </c>
      <c r="J93" s="290" t="e">
        <f t="shared" si="21"/>
        <v>#DIV/0!</v>
      </c>
      <c r="K93" s="167"/>
    </row>
    <row r="94" spans="1:11" s="119" customFormat="1" ht="18.75" x14ac:dyDescent="0.2">
      <c r="A94" s="169" t="s">
        <v>200</v>
      </c>
      <c r="B94" s="163">
        <v>4031</v>
      </c>
      <c r="C94" s="340"/>
      <c r="D94" s="320"/>
      <c r="E94" s="274">
        <f t="shared" si="17"/>
        <v>0</v>
      </c>
      <c r="F94" s="290" t="e">
        <f t="shared" si="18"/>
        <v>#DIV/0!</v>
      </c>
      <c r="G94" s="274">
        <f t="shared" si="19"/>
        <v>0</v>
      </c>
      <c r="H94" s="274">
        <f t="shared" si="19"/>
        <v>0</v>
      </c>
      <c r="I94" s="274">
        <f t="shared" si="20"/>
        <v>0</v>
      </c>
      <c r="J94" s="290" t="e">
        <f t="shared" si="21"/>
        <v>#DIV/0!</v>
      </c>
      <c r="K94" s="167"/>
    </row>
    <row r="95" spans="1:11" s="119" customFormat="1" ht="18.75" x14ac:dyDescent="0.2">
      <c r="A95" s="169" t="s">
        <v>202</v>
      </c>
      <c r="B95" s="163">
        <v>4032</v>
      </c>
      <c r="C95" s="340"/>
      <c r="D95" s="320"/>
      <c r="E95" s="274">
        <f t="shared" si="17"/>
        <v>0</v>
      </c>
      <c r="F95" s="290" t="e">
        <f t="shared" si="18"/>
        <v>#DIV/0!</v>
      </c>
      <c r="G95" s="274">
        <f t="shared" si="19"/>
        <v>0</v>
      </c>
      <c r="H95" s="274">
        <f t="shared" si="19"/>
        <v>0</v>
      </c>
      <c r="I95" s="274">
        <f t="shared" si="20"/>
        <v>0</v>
      </c>
      <c r="J95" s="290" t="e">
        <f t="shared" si="21"/>
        <v>#DIV/0!</v>
      </c>
      <c r="K95" s="167"/>
    </row>
    <row r="96" spans="1:11" s="119" customFormat="1" ht="18.75" x14ac:dyDescent="0.2">
      <c r="A96" s="169" t="s">
        <v>204</v>
      </c>
      <c r="B96" s="163">
        <v>4033</v>
      </c>
      <c r="C96" s="340"/>
      <c r="D96" s="320"/>
      <c r="E96" s="274">
        <f t="shared" si="17"/>
        <v>0</v>
      </c>
      <c r="F96" s="290" t="e">
        <f t="shared" si="18"/>
        <v>#DIV/0!</v>
      </c>
      <c r="G96" s="274"/>
      <c r="H96" s="274">
        <f t="shared" si="19"/>
        <v>0</v>
      </c>
      <c r="I96" s="274">
        <f t="shared" si="20"/>
        <v>0</v>
      </c>
      <c r="J96" s="290" t="e">
        <f t="shared" si="21"/>
        <v>#DIV/0!</v>
      </c>
      <c r="K96" s="167"/>
    </row>
    <row r="97" spans="1:11" s="119" customFormat="1" ht="19.5" thickBot="1" x14ac:dyDescent="0.25">
      <c r="A97" s="169" t="s">
        <v>211</v>
      </c>
      <c r="B97" s="163">
        <v>4040</v>
      </c>
      <c r="C97" s="340"/>
      <c r="D97" s="320"/>
      <c r="E97" s="274">
        <f t="shared" si="17"/>
        <v>0</v>
      </c>
      <c r="F97" s="290" t="e">
        <f t="shared" si="18"/>
        <v>#DIV/0!</v>
      </c>
      <c r="G97" s="274"/>
      <c r="H97" s="274">
        <f t="shared" si="19"/>
        <v>0</v>
      </c>
      <c r="I97" s="274">
        <f t="shared" si="20"/>
        <v>0</v>
      </c>
      <c r="J97" s="290" t="e">
        <f t="shared" si="21"/>
        <v>#DIV/0!</v>
      </c>
      <c r="K97" s="167"/>
    </row>
    <row r="98" spans="1:11" s="159" customFormat="1" ht="19.5" thickBot="1" x14ac:dyDescent="0.25">
      <c r="A98" s="150" t="s">
        <v>254</v>
      </c>
      <c r="B98" s="151"/>
      <c r="C98" s="342"/>
      <c r="D98" s="338"/>
      <c r="E98" s="343"/>
      <c r="F98" s="344"/>
      <c r="G98" s="339"/>
      <c r="H98" s="339"/>
      <c r="I98" s="339"/>
      <c r="J98" s="345"/>
      <c r="K98" s="178"/>
    </row>
    <row r="99" spans="1:11" s="119" customFormat="1" ht="18.75" x14ac:dyDescent="0.2">
      <c r="A99" s="162" t="s">
        <v>213</v>
      </c>
      <c r="B99" s="163">
        <v>5010</v>
      </c>
      <c r="C99" s="346"/>
      <c r="D99" s="320"/>
      <c r="E99" s="340"/>
      <c r="F99" s="294"/>
      <c r="G99" s="274"/>
      <c r="H99" s="274"/>
      <c r="I99" s="274"/>
      <c r="J99" s="290"/>
      <c r="K99" s="167"/>
    </row>
    <row r="100" spans="1:11" s="119" customFormat="1" ht="37.5" x14ac:dyDescent="0.2">
      <c r="A100" s="162" t="s">
        <v>214</v>
      </c>
      <c r="B100" s="163">
        <v>5020</v>
      </c>
      <c r="C100" s="346"/>
      <c r="D100" s="320"/>
      <c r="E100" s="340"/>
      <c r="F100" s="294"/>
      <c r="G100" s="274"/>
      <c r="H100" s="274"/>
      <c r="I100" s="274"/>
      <c r="J100" s="290"/>
      <c r="K100" s="167"/>
    </row>
    <row r="101" spans="1:11" s="119" customFormat="1" ht="41.25" customHeight="1" x14ac:dyDescent="0.2">
      <c r="A101" s="162" t="s">
        <v>255</v>
      </c>
      <c r="B101" s="163">
        <v>5030</v>
      </c>
      <c r="C101" s="346"/>
      <c r="D101" s="320"/>
      <c r="E101" s="340"/>
      <c r="F101" s="294"/>
      <c r="G101" s="274"/>
      <c r="H101" s="274"/>
      <c r="I101" s="274"/>
      <c r="J101" s="290"/>
      <c r="K101" s="167"/>
    </row>
    <row r="102" spans="1:11" s="119" customFormat="1" ht="17.25" customHeight="1" x14ac:dyDescent="0.2">
      <c r="A102" s="169" t="s">
        <v>256</v>
      </c>
      <c r="B102" s="181"/>
      <c r="C102" s="346"/>
      <c r="D102" s="320"/>
      <c r="E102" s="340"/>
      <c r="F102" s="294"/>
      <c r="G102" s="274"/>
      <c r="H102" s="274"/>
      <c r="I102" s="274"/>
      <c r="J102" s="290"/>
      <c r="K102" s="167"/>
    </row>
    <row r="103" spans="1:11" s="119" customFormat="1" ht="27.75" customHeight="1" thickBot="1" x14ac:dyDescent="0.25">
      <c r="A103" s="170" t="s">
        <v>216</v>
      </c>
      <c r="B103" s="171">
        <v>5040</v>
      </c>
      <c r="C103" s="341">
        <f>'[2]додаток 1 '!I163</f>
        <v>0.2</v>
      </c>
      <c r="D103" s="321">
        <v>0.2</v>
      </c>
      <c r="E103" s="274">
        <f>C103-D103</f>
        <v>0</v>
      </c>
      <c r="F103" s="290">
        <f>D103/C103*100</f>
        <v>100</v>
      </c>
      <c r="G103" s="341">
        <f>'[2]додаток 1 '!I163</f>
        <v>0.2</v>
      </c>
      <c r="H103" s="319">
        <v>0.3</v>
      </c>
      <c r="I103" s="274">
        <f>G103-H103</f>
        <v>-9.9999999999999978E-2</v>
      </c>
      <c r="J103" s="290">
        <f>H103/G103*100</f>
        <v>149.99999999999997</v>
      </c>
      <c r="K103" s="174"/>
    </row>
    <row r="104" spans="1:11" s="159" customFormat="1" ht="19.5" thickBot="1" x14ac:dyDescent="0.25">
      <c r="A104" s="150" t="s">
        <v>257</v>
      </c>
      <c r="B104" s="259"/>
      <c r="C104" s="342"/>
      <c r="D104" s="338"/>
      <c r="E104" s="343"/>
      <c r="F104" s="347"/>
      <c r="G104" s="339"/>
      <c r="H104" s="339"/>
      <c r="I104" s="339"/>
      <c r="J104" s="345"/>
      <c r="K104" s="178"/>
    </row>
    <row r="105" spans="1:11" s="119" customFormat="1" ht="18.75" x14ac:dyDescent="0.2">
      <c r="A105" s="162" t="s">
        <v>218</v>
      </c>
      <c r="B105" s="260">
        <v>6010</v>
      </c>
      <c r="C105" s="271">
        <v>52198.3</v>
      </c>
      <c r="D105" s="271">
        <v>54592.9</v>
      </c>
      <c r="E105" s="348">
        <f>C105-D105</f>
        <v>-2394.5999999999985</v>
      </c>
      <c r="F105" s="349">
        <f>D105/C105*100</f>
        <v>104.58750572336646</v>
      </c>
      <c r="G105" s="272">
        <v>54592.9</v>
      </c>
      <c r="H105" s="272">
        <v>54592.9</v>
      </c>
      <c r="I105" s="274">
        <f>G105-H105</f>
        <v>0</v>
      </c>
      <c r="J105" s="290">
        <f>H105/G105*100</f>
        <v>100</v>
      </c>
      <c r="K105" s="289"/>
    </row>
    <row r="106" spans="1:11" s="119" customFormat="1" ht="18.75" x14ac:dyDescent="0.2">
      <c r="A106" s="162" t="s">
        <v>219</v>
      </c>
      <c r="B106" s="261">
        <v>6020</v>
      </c>
      <c r="C106" s="271">
        <f>'[2]додаток 1 '!I166</f>
        <v>17220.3</v>
      </c>
      <c r="D106" s="271">
        <f>'[2]додаток 1 '!J166</f>
        <v>17220.3</v>
      </c>
      <c r="E106" s="348">
        <f>C106-D106</f>
        <v>0</v>
      </c>
      <c r="F106" s="350">
        <f>D106/C106*100</f>
        <v>100</v>
      </c>
      <c r="G106" s="272">
        <v>15488</v>
      </c>
      <c r="H106" s="272">
        <v>15488</v>
      </c>
      <c r="I106" s="274">
        <f>G106-H106</f>
        <v>0</v>
      </c>
      <c r="J106" s="290">
        <f>H106/G106*100</f>
        <v>100</v>
      </c>
      <c r="K106" s="289"/>
    </row>
    <row r="107" spans="1:11" s="119" customFormat="1" ht="18.75" x14ac:dyDescent="0.2">
      <c r="A107" s="162" t="s">
        <v>220</v>
      </c>
      <c r="B107" s="261">
        <v>6030</v>
      </c>
      <c r="C107" s="316">
        <f>SUM(C105:C106)</f>
        <v>69418.600000000006</v>
      </c>
      <c r="D107" s="316">
        <f>SUM(D105:D106)</f>
        <v>71813.2</v>
      </c>
      <c r="E107" s="348">
        <f>C107-D107</f>
        <v>-2394.5999999999913</v>
      </c>
      <c r="F107" s="350">
        <f>D107/C107*100</f>
        <v>103.44950776881123</v>
      </c>
      <c r="G107" s="316">
        <f>SUM(G105:G106)</f>
        <v>70080.899999999994</v>
      </c>
      <c r="H107" s="316">
        <f>SUM(H105:H106)</f>
        <v>70080.899999999994</v>
      </c>
      <c r="I107" s="274">
        <f>G107-H107</f>
        <v>0</v>
      </c>
      <c r="J107" s="290">
        <f>H107/G107*100</f>
        <v>100</v>
      </c>
      <c r="K107" s="167"/>
    </row>
    <row r="108" spans="1:11" s="119" customFormat="1" ht="18.75" x14ac:dyDescent="0.2">
      <c r="A108" s="162" t="s">
        <v>221</v>
      </c>
      <c r="B108" s="261">
        <v>6040</v>
      </c>
      <c r="C108" s="351"/>
      <c r="D108" s="351"/>
      <c r="E108" s="352"/>
      <c r="F108" s="350"/>
      <c r="G108" s="294"/>
      <c r="H108" s="274">
        <v>104.9</v>
      </c>
      <c r="I108" s="274"/>
      <c r="J108" s="290"/>
      <c r="K108" s="167"/>
    </row>
    <row r="109" spans="1:11" s="119" customFormat="1" ht="18.75" x14ac:dyDescent="0.2">
      <c r="A109" s="162" t="s">
        <v>222</v>
      </c>
      <c r="B109" s="261">
        <v>6050</v>
      </c>
      <c r="C109" s="351"/>
      <c r="D109" s="351"/>
      <c r="E109" s="352"/>
      <c r="F109" s="350"/>
      <c r="G109" s="294"/>
      <c r="H109" s="274">
        <v>10.9</v>
      </c>
      <c r="I109" s="274"/>
      <c r="J109" s="290"/>
      <c r="K109" s="167"/>
    </row>
    <row r="110" spans="1:11" s="119" customFormat="1" ht="24" customHeight="1" x14ac:dyDescent="0.2">
      <c r="A110" s="199" t="s">
        <v>258</v>
      </c>
      <c r="B110" s="262"/>
      <c r="C110" s="288"/>
      <c r="D110" s="353"/>
      <c r="E110" s="354"/>
      <c r="F110" s="355"/>
      <c r="G110" s="356"/>
      <c r="H110" s="337"/>
      <c r="I110" s="182"/>
      <c r="J110" s="183"/>
      <c r="K110" s="167"/>
    </row>
    <row r="111" spans="1:11" s="119" customFormat="1" ht="58.5" customHeight="1" x14ac:dyDescent="0.2">
      <c r="A111" s="258" t="s">
        <v>286</v>
      </c>
      <c r="B111" s="261">
        <v>7010</v>
      </c>
      <c r="C111" s="284">
        <f>SUM(C112:C117)</f>
        <v>224</v>
      </c>
      <c r="D111" s="320">
        <f>SUM(D112:D117)</f>
        <v>224</v>
      </c>
      <c r="E111" s="299">
        <f>C111-D111</f>
        <v>0</v>
      </c>
      <c r="F111" s="302">
        <f>D111/C111*100</f>
        <v>100</v>
      </c>
      <c r="G111" s="284">
        <f>SUM(G112:G117)</f>
        <v>255</v>
      </c>
      <c r="H111" s="320">
        <f>SUM(H112:H117)</f>
        <v>204</v>
      </c>
      <c r="I111" s="165">
        <f>G111-H111</f>
        <v>51</v>
      </c>
      <c r="J111" s="166">
        <f>H111/G111*100</f>
        <v>80</v>
      </c>
      <c r="K111" s="167"/>
    </row>
    <row r="112" spans="1:11" s="119" customFormat="1" ht="18.75" x14ac:dyDescent="0.2">
      <c r="A112" s="200" t="s">
        <v>259</v>
      </c>
      <c r="B112" s="261">
        <v>7011</v>
      </c>
      <c r="C112" s="295">
        <v>1</v>
      </c>
      <c r="D112" s="357">
        <v>1</v>
      </c>
      <c r="E112" s="300">
        <f t="shared" ref="E112:E138" si="22">C112-D112</f>
        <v>0</v>
      </c>
      <c r="F112" s="303">
        <f t="shared" ref="F112:F131" si="23">D112/C112*100</f>
        <v>100</v>
      </c>
      <c r="G112" s="301">
        <v>1</v>
      </c>
      <c r="H112" s="358">
        <v>1</v>
      </c>
      <c r="I112" s="296">
        <f t="shared" ref="I112:I138" si="24">G112-H112</f>
        <v>0</v>
      </c>
      <c r="J112" s="297">
        <f t="shared" ref="J112:J131" si="25">H112/G112*100</f>
        <v>100</v>
      </c>
      <c r="K112" s="167"/>
    </row>
    <row r="113" spans="1:11" s="119" customFormat="1" ht="18.75" x14ac:dyDescent="0.2">
      <c r="A113" s="169" t="s">
        <v>260</v>
      </c>
      <c r="B113" s="261">
        <v>7012</v>
      </c>
      <c r="C113" s="295">
        <v>31</v>
      </c>
      <c r="D113" s="357">
        <v>31</v>
      </c>
      <c r="E113" s="300">
        <f t="shared" si="22"/>
        <v>0</v>
      </c>
      <c r="F113" s="303">
        <f t="shared" si="23"/>
        <v>100</v>
      </c>
      <c r="G113" s="301">
        <v>42</v>
      </c>
      <c r="H113" s="358">
        <v>27</v>
      </c>
      <c r="I113" s="296">
        <f t="shared" si="24"/>
        <v>15</v>
      </c>
      <c r="J113" s="297">
        <f t="shared" si="25"/>
        <v>64.285714285714292</v>
      </c>
      <c r="K113" s="167"/>
    </row>
    <row r="114" spans="1:11" s="119" customFormat="1" ht="18.75" x14ac:dyDescent="0.2">
      <c r="A114" s="169" t="s">
        <v>261</v>
      </c>
      <c r="B114" s="261">
        <v>7013</v>
      </c>
      <c r="C114" s="295">
        <v>21</v>
      </c>
      <c r="D114" s="357">
        <v>21</v>
      </c>
      <c r="E114" s="300">
        <f t="shared" si="22"/>
        <v>0</v>
      </c>
      <c r="F114" s="303">
        <f t="shared" si="23"/>
        <v>100</v>
      </c>
      <c r="G114" s="301">
        <v>26</v>
      </c>
      <c r="H114" s="358">
        <v>22</v>
      </c>
      <c r="I114" s="296">
        <f t="shared" si="24"/>
        <v>4</v>
      </c>
      <c r="J114" s="297">
        <f t="shared" si="25"/>
        <v>84.615384615384613</v>
      </c>
      <c r="K114" s="167"/>
    </row>
    <row r="115" spans="1:11" s="119" customFormat="1" ht="18.75" x14ac:dyDescent="0.2">
      <c r="A115" s="169" t="s">
        <v>262</v>
      </c>
      <c r="B115" s="261">
        <v>7014</v>
      </c>
      <c r="C115" s="295">
        <v>87</v>
      </c>
      <c r="D115" s="357">
        <v>87</v>
      </c>
      <c r="E115" s="300">
        <f t="shared" si="22"/>
        <v>0</v>
      </c>
      <c r="F115" s="303">
        <f t="shared" si="23"/>
        <v>100</v>
      </c>
      <c r="G115" s="301">
        <v>88</v>
      </c>
      <c r="H115" s="358">
        <v>72</v>
      </c>
      <c r="I115" s="296">
        <f t="shared" si="24"/>
        <v>16</v>
      </c>
      <c r="J115" s="297">
        <f t="shared" si="25"/>
        <v>81.818181818181827</v>
      </c>
      <c r="K115" s="167"/>
    </row>
    <row r="116" spans="1:11" s="119" customFormat="1" ht="18.75" x14ac:dyDescent="0.2">
      <c r="A116" s="169" t="s">
        <v>263</v>
      </c>
      <c r="B116" s="261">
        <v>7015</v>
      </c>
      <c r="C116" s="295">
        <v>25</v>
      </c>
      <c r="D116" s="357">
        <v>25</v>
      </c>
      <c r="E116" s="300">
        <f t="shared" si="22"/>
        <v>0</v>
      </c>
      <c r="F116" s="303">
        <f t="shared" si="23"/>
        <v>100</v>
      </c>
      <c r="G116" s="301">
        <v>28</v>
      </c>
      <c r="H116" s="358">
        <v>24</v>
      </c>
      <c r="I116" s="296">
        <f t="shared" si="24"/>
        <v>4</v>
      </c>
      <c r="J116" s="297">
        <f t="shared" si="25"/>
        <v>85.714285714285708</v>
      </c>
      <c r="K116" s="167"/>
    </row>
    <row r="117" spans="1:11" s="119" customFormat="1" ht="18.75" x14ac:dyDescent="0.2">
      <c r="A117" s="169" t="s">
        <v>264</v>
      </c>
      <c r="B117" s="261">
        <v>7016</v>
      </c>
      <c r="C117" s="295">
        <v>59</v>
      </c>
      <c r="D117" s="357">
        <v>59</v>
      </c>
      <c r="E117" s="300">
        <f t="shared" si="22"/>
        <v>0</v>
      </c>
      <c r="F117" s="303">
        <f t="shared" si="23"/>
        <v>100</v>
      </c>
      <c r="G117" s="301">
        <v>70</v>
      </c>
      <c r="H117" s="358">
        <v>58</v>
      </c>
      <c r="I117" s="296">
        <f t="shared" si="24"/>
        <v>12</v>
      </c>
      <c r="J117" s="297">
        <f t="shared" si="25"/>
        <v>82.857142857142861</v>
      </c>
      <c r="K117" s="167"/>
    </row>
    <row r="118" spans="1:11" s="119" customFormat="1" ht="18.75" x14ac:dyDescent="0.2">
      <c r="A118" s="169" t="s">
        <v>265</v>
      </c>
      <c r="B118" s="261">
        <v>7020</v>
      </c>
      <c r="C118" s="284">
        <f>SUM(C119:C124)</f>
        <v>9389</v>
      </c>
      <c r="D118" s="320">
        <f>SUM(D119:D124)</f>
        <v>12554.500000000002</v>
      </c>
      <c r="E118" s="299">
        <f t="shared" si="22"/>
        <v>-3165.5000000000018</v>
      </c>
      <c r="F118" s="302">
        <f t="shared" si="23"/>
        <v>133.71498562147195</v>
      </c>
      <c r="G118" s="284">
        <f>SUM(G119:G124)</f>
        <v>44895.7</v>
      </c>
      <c r="H118" s="320">
        <f>SUM(H119:H124)</f>
        <v>43601.299999999996</v>
      </c>
      <c r="I118" s="165">
        <f t="shared" si="24"/>
        <v>1294.4000000000015</v>
      </c>
      <c r="J118" s="166">
        <f t="shared" si="25"/>
        <v>97.11687310811503</v>
      </c>
      <c r="K118" s="289"/>
    </row>
    <row r="119" spans="1:11" s="119" customFormat="1" ht="18.75" x14ac:dyDescent="0.2">
      <c r="A119" s="169" t="s">
        <v>259</v>
      </c>
      <c r="B119" s="261">
        <v>7021</v>
      </c>
      <c r="C119" s="295">
        <v>166</v>
      </c>
      <c r="D119" s="357">
        <f>129.3+36</f>
        <v>165.3</v>
      </c>
      <c r="E119" s="300">
        <f t="shared" si="22"/>
        <v>0.69999999999998863</v>
      </c>
      <c r="F119" s="303">
        <f t="shared" si="23"/>
        <v>99.578313253012055</v>
      </c>
      <c r="G119" s="301">
        <f>633.4+36</f>
        <v>669.4</v>
      </c>
      <c r="H119" s="358">
        <f>630.6+36</f>
        <v>666.6</v>
      </c>
      <c r="I119" s="296">
        <f t="shared" si="24"/>
        <v>2.7999999999999545</v>
      </c>
      <c r="J119" s="297">
        <f t="shared" si="25"/>
        <v>99.581714968628631</v>
      </c>
      <c r="K119" s="167"/>
    </row>
    <row r="120" spans="1:11" s="119" customFormat="1" ht="18.75" x14ac:dyDescent="0.2">
      <c r="A120" s="169" t="s">
        <v>260</v>
      </c>
      <c r="B120" s="261">
        <v>7022</v>
      </c>
      <c r="C120" s="295">
        <v>1778.3</v>
      </c>
      <c r="D120" s="357">
        <f>2718.6+295</f>
        <v>3013.6</v>
      </c>
      <c r="E120" s="300">
        <f t="shared" si="22"/>
        <v>-1235.3</v>
      </c>
      <c r="F120" s="303">
        <f t="shared" si="23"/>
        <v>169.46521959174493</v>
      </c>
      <c r="G120" s="301">
        <f>11054.1+357</f>
        <v>11411.1</v>
      </c>
      <c r="H120" s="358">
        <f>9950+295</f>
        <v>10245</v>
      </c>
      <c r="I120" s="296">
        <f t="shared" si="24"/>
        <v>1166.1000000000004</v>
      </c>
      <c r="J120" s="297">
        <f t="shared" si="25"/>
        <v>89.781002707889684</v>
      </c>
      <c r="K120" s="167"/>
    </row>
    <row r="121" spans="1:11" s="119" customFormat="1" ht="18.75" x14ac:dyDescent="0.2">
      <c r="A121" s="169" t="s">
        <v>261</v>
      </c>
      <c r="B121" s="261">
        <v>7023</v>
      </c>
      <c r="C121" s="295">
        <v>1688.8</v>
      </c>
      <c r="D121" s="357">
        <f>1688.8+64</f>
        <v>1752.8</v>
      </c>
      <c r="E121" s="300">
        <f t="shared" si="22"/>
        <v>-64</v>
      </c>
      <c r="F121" s="303">
        <f t="shared" si="23"/>
        <v>103.7896731406916</v>
      </c>
      <c r="G121" s="301">
        <f>6593.6+64</f>
        <v>6657.6</v>
      </c>
      <c r="H121" s="358">
        <f>6575.6+64</f>
        <v>6639.6</v>
      </c>
      <c r="I121" s="296">
        <f t="shared" si="24"/>
        <v>18</v>
      </c>
      <c r="J121" s="297">
        <f t="shared" si="25"/>
        <v>99.7296322999279</v>
      </c>
      <c r="K121" s="167"/>
    </row>
    <row r="122" spans="1:11" s="119" customFormat="1" ht="18.75" x14ac:dyDescent="0.2">
      <c r="A122" s="169" t="s">
        <v>262</v>
      </c>
      <c r="B122" s="261">
        <v>7024</v>
      </c>
      <c r="C122" s="295">
        <v>3524.6</v>
      </c>
      <c r="D122" s="357">
        <f>4606+506.5</f>
        <v>5112.5</v>
      </c>
      <c r="E122" s="300">
        <f t="shared" si="22"/>
        <v>-1587.9</v>
      </c>
      <c r="F122" s="303">
        <f t="shared" si="23"/>
        <v>145.05192078533736</v>
      </c>
      <c r="G122" s="301">
        <f>16799+613</f>
        <v>17412</v>
      </c>
      <c r="H122" s="358">
        <f>16799+506.5</f>
        <v>17305.5</v>
      </c>
      <c r="I122" s="296">
        <f t="shared" si="24"/>
        <v>106.5</v>
      </c>
      <c r="J122" s="297">
        <f t="shared" si="25"/>
        <v>99.388352860096489</v>
      </c>
      <c r="K122" s="167"/>
    </row>
    <row r="123" spans="1:11" s="119" customFormat="1" ht="18.75" x14ac:dyDescent="0.2">
      <c r="A123" s="169" t="s">
        <v>263</v>
      </c>
      <c r="B123" s="261">
        <v>7025</v>
      </c>
      <c r="C123" s="295">
        <v>716.2</v>
      </c>
      <c r="D123" s="357">
        <v>716.2</v>
      </c>
      <c r="E123" s="300">
        <f t="shared" si="22"/>
        <v>0</v>
      </c>
      <c r="F123" s="303">
        <f t="shared" si="23"/>
        <v>100</v>
      </c>
      <c r="G123" s="301">
        <v>2564.5</v>
      </c>
      <c r="H123" s="358">
        <v>2563.9</v>
      </c>
      <c r="I123" s="296">
        <f t="shared" si="24"/>
        <v>0.59999999999990905</v>
      </c>
      <c r="J123" s="297">
        <f t="shared" si="25"/>
        <v>99.976603626437907</v>
      </c>
      <c r="K123" s="167"/>
    </row>
    <row r="124" spans="1:11" s="119" customFormat="1" ht="18.75" x14ac:dyDescent="0.2">
      <c r="A124" s="169" t="s">
        <v>264</v>
      </c>
      <c r="B124" s="261">
        <v>7026</v>
      </c>
      <c r="C124" s="295">
        <v>1515.1</v>
      </c>
      <c r="D124" s="357">
        <v>1794.1</v>
      </c>
      <c r="E124" s="300">
        <f t="shared" si="22"/>
        <v>-279</v>
      </c>
      <c r="F124" s="303">
        <f t="shared" si="23"/>
        <v>118.4146260972873</v>
      </c>
      <c r="G124" s="301">
        <v>6181.1</v>
      </c>
      <c r="H124" s="358">
        <v>6180.7</v>
      </c>
      <c r="I124" s="296">
        <f t="shared" si="24"/>
        <v>0.4000000000005457</v>
      </c>
      <c r="J124" s="297">
        <f t="shared" si="25"/>
        <v>99.993528659947245</v>
      </c>
      <c r="K124" s="167"/>
    </row>
    <row r="125" spans="1:11" s="119" customFormat="1" ht="37.5" x14ac:dyDescent="0.2">
      <c r="A125" s="169" t="s">
        <v>266</v>
      </c>
      <c r="B125" s="261">
        <v>7030</v>
      </c>
      <c r="C125" s="284">
        <f>C118/C111/3</f>
        <v>13.97172619047619</v>
      </c>
      <c r="D125" s="320">
        <f>D118/D111/3</f>
        <v>18.682291666666668</v>
      </c>
      <c r="E125" s="299">
        <f t="shared" si="22"/>
        <v>-4.7105654761904781</v>
      </c>
      <c r="F125" s="302">
        <f t="shared" si="23"/>
        <v>133.71498562147195</v>
      </c>
      <c r="G125" s="164">
        <f>G118/G111/12</f>
        <v>14.671797385620915</v>
      </c>
      <c r="H125" s="294">
        <f>H118/H111/12</f>
        <v>17.810988562091502</v>
      </c>
      <c r="I125" s="165">
        <f t="shared" si="24"/>
        <v>-3.1391911764705878</v>
      </c>
      <c r="J125" s="166">
        <f t="shared" si="25"/>
        <v>121.39609138514378</v>
      </c>
      <c r="K125" s="167"/>
    </row>
    <row r="126" spans="1:11" s="119" customFormat="1" ht="18.75" x14ac:dyDescent="0.2">
      <c r="A126" s="169" t="s">
        <v>259</v>
      </c>
      <c r="B126" s="261">
        <v>7031</v>
      </c>
      <c r="C126" s="295">
        <f>C119/C112/3</f>
        <v>55.333333333333336</v>
      </c>
      <c r="D126" s="357">
        <f>D119/D112/3</f>
        <v>55.1</v>
      </c>
      <c r="E126" s="300">
        <f t="shared" si="22"/>
        <v>0.23333333333333428</v>
      </c>
      <c r="F126" s="303">
        <f t="shared" si="23"/>
        <v>99.578313253012055</v>
      </c>
      <c r="G126" s="295">
        <f>G119/G112/12</f>
        <v>55.783333333333331</v>
      </c>
      <c r="H126" s="357">
        <f>H119/H112/12</f>
        <v>55.550000000000004</v>
      </c>
      <c r="I126" s="296">
        <f t="shared" si="24"/>
        <v>0.23333333333332718</v>
      </c>
      <c r="J126" s="297">
        <f t="shared" si="25"/>
        <v>99.581714968628631</v>
      </c>
      <c r="K126" s="167"/>
    </row>
    <row r="127" spans="1:11" s="119" customFormat="1" ht="18.75" x14ac:dyDescent="0.2">
      <c r="A127" s="169" t="s">
        <v>260</v>
      </c>
      <c r="B127" s="261">
        <v>7032</v>
      </c>
      <c r="C127" s="295">
        <f t="shared" ref="C127:D131" si="26">C120/C113/3</f>
        <v>19.121505376344086</v>
      </c>
      <c r="D127" s="357">
        <f t="shared" si="26"/>
        <v>32.404301075268812</v>
      </c>
      <c r="E127" s="300">
        <f t="shared" si="22"/>
        <v>-13.282795698924726</v>
      </c>
      <c r="F127" s="303">
        <f t="shared" si="23"/>
        <v>169.4652195917449</v>
      </c>
      <c r="G127" s="295">
        <f t="shared" ref="G127:H131" si="27">G120/G113/12</f>
        <v>22.641071428571433</v>
      </c>
      <c r="H127" s="357">
        <f t="shared" si="27"/>
        <v>31.62037037037037</v>
      </c>
      <c r="I127" s="296">
        <f t="shared" si="24"/>
        <v>-8.9792989417989375</v>
      </c>
      <c r="J127" s="297">
        <f t="shared" si="25"/>
        <v>139.65933754560615</v>
      </c>
      <c r="K127" s="167"/>
    </row>
    <row r="128" spans="1:11" s="119" customFormat="1" ht="18.75" x14ac:dyDescent="0.2">
      <c r="A128" s="169" t="s">
        <v>261</v>
      </c>
      <c r="B128" s="261">
        <v>7033</v>
      </c>
      <c r="C128" s="295">
        <f t="shared" si="26"/>
        <v>26.806349206349207</v>
      </c>
      <c r="D128" s="357">
        <f t="shared" si="26"/>
        <v>27.822222222222223</v>
      </c>
      <c r="E128" s="300">
        <f t="shared" si="22"/>
        <v>-1.0158730158730158</v>
      </c>
      <c r="F128" s="303">
        <f t="shared" si="23"/>
        <v>103.7896731406916</v>
      </c>
      <c r="G128" s="295">
        <f t="shared" si="27"/>
        <v>21.338461538461541</v>
      </c>
      <c r="H128" s="357">
        <f t="shared" si="27"/>
        <v>25.150000000000002</v>
      </c>
      <c r="I128" s="296">
        <f t="shared" si="24"/>
        <v>-3.8115384615384613</v>
      </c>
      <c r="J128" s="297">
        <f t="shared" si="25"/>
        <v>117.86229271809661</v>
      </c>
      <c r="K128" s="167"/>
    </row>
    <row r="129" spans="1:11" s="119" customFormat="1" ht="18.75" x14ac:dyDescent="0.2">
      <c r="A129" s="169" t="s">
        <v>262</v>
      </c>
      <c r="B129" s="261">
        <v>7034</v>
      </c>
      <c r="C129" s="295">
        <f t="shared" si="26"/>
        <v>13.504214559386973</v>
      </c>
      <c r="D129" s="357">
        <f t="shared" si="26"/>
        <v>19.588122605363985</v>
      </c>
      <c r="E129" s="300">
        <f t="shared" si="22"/>
        <v>-6.0839080459770116</v>
      </c>
      <c r="F129" s="303">
        <f t="shared" si="23"/>
        <v>145.05192078533736</v>
      </c>
      <c r="G129" s="295">
        <f t="shared" si="27"/>
        <v>16.488636363636363</v>
      </c>
      <c r="H129" s="357">
        <f t="shared" si="27"/>
        <v>20.029513888888889</v>
      </c>
      <c r="I129" s="296">
        <f t="shared" si="24"/>
        <v>-3.540877525252526</v>
      </c>
      <c r="J129" s="297">
        <f t="shared" si="25"/>
        <v>121.47465349567348</v>
      </c>
      <c r="K129" s="167"/>
    </row>
    <row r="130" spans="1:11" s="119" customFormat="1" ht="18.75" x14ac:dyDescent="0.2">
      <c r="A130" s="169" t="s">
        <v>263</v>
      </c>
      <c r="B130" s="261">
        <v>7035</v>
      </c>
      <c r="C130" s="295">
        <f t="shared" si="26"/>
        <v>9.549333333333335</v>
      </c>
      <c r="D130" s="357">
        <f t="shared" si="26"/>
        <v>9.549333333333335</v>
      </c>
      <c r="E130" s="300">
        <f t="shared" si="22"/>
        <v>0</v>
      </c>
      <c r="F130" s="303">
        <f t="shared" si="23"/>
        <v>100</v>
      </c>
      <c r="G130" s="295">
        <f t="shared" si="27"/>
        <v>7.6324404761904754</v>
      </c>
      <c r="H130" s="357">
        <f t="shared" si="27"/>
        <v>8.9024305555555561</v>
      </c>
      <c r="I130" s="296">
        <f t="shared" si="24"/>
        <v>-1.2699900793650807</v>
      </c>
      <c r="J130" s="297">
        <f t="shared" si="25"/>
        <v>116.6393708975109</v>
      </c>
      <c r="K130" s="167"/>
    </row>
    <row r="131" spans="1:11" s="119" customFormat="1" ht="18.75" x14ac:dyDescent="0.2">
      <c r="A131" s="169" t="s">
        <v>264</v>
      </c>
      <c r="B131" s="261">
        <v>7036</v>
      </c>
      <c r="C131" s="295">
        <f t="shared" si="26"/>
        <v>8.5598870056497169</v>
      </c>
      <c r="D131" s="357">
        <f t="shared" si="26"/>
        <v>10.136158192090395</v>
      </c>
      <c r="E131" s="300">
        <f t="shared" si="22"/>
        <v>-1.5762711864406782</v>
      </c>
      <c r="F131" s="303">
        <f t="shared" si="23"/>
        <v>118.4146260972873</v>
      </c>
      <c r="G131" s="295">
        <f t="shared" si="27"/>
        <v>7.3584523809523814</v>
      </c>
      <c r="H131" s="357">
        <f t="shared" si="27"/>
        <v>8.8803160919540236</v>
      </c>
      <c r="I131" s="296">
        <f t="shared" si="24"/>
        <v>-1.5218637110016422</v>
      </c>
      <c r="J131" s="297">
        <f t="shared" si="25"/>
        <v>120.68184493441912</v>
      </c>
      <c r="K131" s="167"/>
    </row>
    <row r="132" spans="1:11" s="119" customFormat="1" ht="18.75" x14ac:dyDescent="0.2">
      <c r="A132" s="169" t="s">
        <v>267</v>
      </c>
      <c r="B132" s="261">
        <v>7040</v>
      </c>
      <c r="C132" s="284">
        <f>SUM(C133:C138)</f>
        <v>0</v>
      </c>
      <c r="D132" s="320">
        <f>SUM(D133:D138)</f>
        <v>0</v>
      </c>
      <c r="E132" s="299">
        <f t="shared" si="22"/>
        <v>0</v>
      </c>
      <c r="F132" s="302"/>
      <c r="G132" s="284">
        <f>SUM(G133:G138)</f>
        <v>0</v>
      </c>
      <c r="H132" s="320">
        <f>SUM(H133:H138)</f>
        <v>0</v>
      </c>
      <c r="I132" s="165">
        <f t="shared" si="24"/>
        <v>0</v>
      </c>
      <c r="J132" s="166"/>
      <c r="K132" s="167"/>
    </row>
    <row r="133" spans="1:11" s="119" customFormat="1" ht="18.75" x14ac:dyDescent="0.2">
      <c r="A133" s="169" t="s">
        <v>259</v>
      </c>
      <c r="B133" s="261">
        <v>7041</v>
      </c>
      <c r="C133" s="295">
        <v>0</v>
      </c>
      <c r="D133" s="357">
        <v>0</v>
      </c>
      <c r="E133" s="300">
        <f t="shared" si="22"/>
        <v>0</v>
      </c>
      <c r="F133" s="303"/>
      <c r="G133" s="295">
        <v>0</v>
      </c>
      <c r="H133" s="357">
        <v>0</v>
      </c>
      <c r="I133" s="296">
        <f t="shared" si="24"/>
        <v>0</v>
      </c>
      <c r="J133" s="297"/>
      <c r="K133" s="167"/>
    </row>
    <row r="134" spans="1:11" s="119" customFormat="1" ht="18.75" x14ac:dyDescent="0.2">
      <c r="A134" s="169" t="s">
        <v>260</v>
      </c>
      <c r="B134" s="261">
        <v>7042</v>
      </c>
      <c r="C134" s="295">
        <v>0</v>
      </c>
      <c r="D134" s="357">
        <v>0</v>
      </c>
      <c r="E134" s="300">
        <f t="shared" si="22"/>
        <v>0</v>
      </c>
      <c r="F134" s="303"/>
      <c r="G134" s="295">
        <v>0</v>
      </c>
      <c r="H134" s="357">
        <v>0</v>
      </c>
      <c r="I134" s="296">
        <f t="shared" si="24"/>
        <v>0</v>
      </c>
      <c r="J134" s="297"/>
      <c r="K134" s="167"/>
    </row>
    <row r="135" spans="1:11" s="119" customFormat="1" ht="18.75" x14ac:dyDescent="0.2">
      <c r="A135" s="169" t="s">
        <v>261</v>
      </c>
      <c r="B135" s="261">
        <v>7043</v>
      </c>
      <c r="C135" s="295">
        <v>0</v>
      </c>
      <c r="D135" s="357">
        <v>0</v>
      </c>
      <c r="E135" s="300">
        <f t="shared" si="22"/>
        <v>0</v>
      </c>
      <c r="F135" s="303"/>
      <c r="G135" s="295">
        <v>0</v>
      </c>
      <c r="H135" s="357">
        <v>0</v>
      </c>
      <c r="I135" s="296">
        <f t="shared" si="24"/>
        <v>0</v>
      </c>
      <c r="J135" s="297"/>
      <c r="K135" s="167"/>
    </row>
    <row r="136" spans="1:11" s="119" customFormat="1" ht="18.75" x14ac:dyDescent="0.2">
      <c r="A136" s="169" t="s">
        <v>262</v>
      </c>
      <c r="B136" s="261">
        <v>7044</v>
      </c>
      <c r="C136" s="295">
        <v>0</v>
      </c>
      <c r="D136" s="357">
        <v>0</v>
      </c>
      <c r="E136" s="300">
        <f t="shared" si="22"/>
        <v>0</v>
      </c>
      <c r="F136" s="303"/>
      <c r="G136" s="295">
        <v>0</v>
      </c>
      <c r="H136" s="357">
        <v>0</v>
      </c>
      <c r="I136" s="296">
        <f t="shared" si="24"/>
        <v>0</v>
      </c>
      <c r="J136" s="297"/>
      <c r="K136" s="167"/>
    </row>
    <row r="137" spans="1:11" s="119" customFormat="1" ht="18.75" x14ac:dyDescent="0.2">
      <c r="A137" s="169" t="s">
        <v>263</v>
      </c>
      <c r="B137" s="261">
        <v>7045</v>
      </c>
      <c r="C137" s="295">
        <v>0</v>
      </c>
      <c r="D137" s="357">
        <v>0</v>
      </c>
      <c r="E137" s="300">
        <f t="shared" si="22"/>
        <v>0</v>
      </c>
      <c r="F137" s="309"/>
      <c r="G137" s="295">
        <v>0</v>
      </c>
      <c r="H137" s="357">
        <v>0</v>
      </c>
      <c r="I137" s="296">
        <f t="shared" si="24"/>
        <v>0</v>
      </c>
      <c r="J137" s="297"/>
      <c r="K137" s="167"/>
    </row>
    <row r="138" spans="1:11" s="119" customFormat="1" ht="19.5" thickBot="1" x14ac:dyDescent="0.25">
      <c r="A138" s="184" t="s">
        <v>264</v>
      </c>
      <c r="B138" s="263">
        <v>7046</v>
      </c>
      <c r="C138" s="298">
        <v>0</v>
      </c>
      <c r="D138" s="359">
        <v>0</v>
      </c>
      <c r="E138" s="307">
        <f t="shared" si="22"/>
        <v>0</v>
      </c>
      <c r="F138" s="308"/>
      <c r="G138" s="298">
        <v>0</v>
      </c>
      <c r="H138" s="359">
        <v>0</v>
      </c>
      <c r="I138" s="304">
        <f t="shared" si="24"/>
        <v>0</v>
      </c>
      <c r="J138" s="305"/>
      <c r="K138" s="185"/>
    </row>
    <row r="139" spans="1:11" s="119" customFormat="1" ht="18.75" x14ac:dyDescent="0.2">
      <c r="A139" s="186"/>
      <c r="B139" s="143"/>
      <c r="C139" s="187"/>
      <c r="D139" s="188"/>
      <c r="E139" s="188"/>
      <c r="F139" s="189"/>
      <c r="G139" s="189"/>
      <c r="H139" s="360"/>
      <c r="I139" s="189"/>
      <c r="J139" s="189"/>
      <c r="K139" s="189"/>
    </row>
    <row r="140" spans="1:11" s="119" customFormat="1" ht="27.75" customHeight="1" x14ac:dyDescent="0.2">
      <c r="A140" s="190" t="s">
        <v>268</v>
      </c>
      <c r="B140" s="191"/>
      <c r="C140" s="332"/>
      <c r="D140" s="413"/>
      <c r="E140" s="413"/>
      <c r="F140" s="413"/>
      <c r="G140" s="334"/>
      <c r="H140" s="410" t="s">
        <v>291</v>
      </c>
      <c r="I140" s="410"/>
      <c r="J140" s="410"/>
      <c r="K140" s="192"/>
    </row>
    <row r="141" spans="1:11" s="114" customFormat="1" ht="15" customHeight="1" x14ac:dyDescent="0.2">
      <c r="A141" s="190"/>
      <c r="B141" s="193"/>
      <c r="D141" s="194"/>
      <c r="E141" s="333"/>
      <c r="F141" s="333"/>
      <c r="G141" s="333"/>
      <c r="H141" s="411" t="s">
        <v>223</v>
      </c>
      <c r="I141" s="411"/>
      <c r="J141" s="411"/>
      <c r="K141" s="107"/>
    </row>
    <row r="142" spans="1:11" ht="15" customHeight="1" x14ac:dyDescent="0.2">
      <c r="A142" s="190"/>
      <c r="B142" s="193"/>
      <c r="D142" s="194"/>
      <c r="E142" s="333"/>
      <c r="F142" s="333"/>
      <c r="G142" s="333"/>
      <c r="H142" s="333"/>
      <c r="I142" s="333"/>
      <c r="J142" s="333"/>
      <c r="K142" s="107"/>
    </row>
    <row r="143" spans="1:11" ht="15" customHeight="1" x14ac:dyDescent="0.2">
      <c r="A143" s="190"/>
      <c r="B143" s="193"/>
      <c r="D143" s="194"/>
      <c r="E143" s="333"/>
      <c r="F143" s="333"/>
      <c r="G143" s="333"/>
      <c r="H143" s="410" t="s">
        <v>292</v>
      </c>
      <c r="I143" s="410"/>
      <c r="J143" s="410"/>
      <c r="K143" s="107"/>
    </row>
    <row r="144" spans="1:11" ht="21.75" customHeight="1" x14ac:dyDescent="0.2">
      <c r="A144" s="190" t="s">
        <v>269</v>
      </c>
      <c r="B144" s="193"/>
      <c r="D144" s="194"/>
      <c r="E144" s="333"/>
      <c r="F144" s="333"/>
      <c r="G144" s="333"/>
      <c r="H144" s="411" t="s">
        <v>223</v>
      </c>
      <c r="I144" s="411"/>
      <c r="J144" s="411"/>
      <c r="K144" s="107"/>
    </row>
    <row r="145" spans="1:10" ht="18.75" customHeight="1" x14ac:dyDescent="0.2">
      <c r="A145" s="195"/>
      <c r="C145" s="194"/>
      <c r="D145" s="333"/>
      <c r="E145" s="333"/>
      <c r="F145" s="333"/>
      <c r="G145" s="412"/>
      <c r="H145" s="412"/>
      <c r="I145" s="333"/>
      <c r="J145" s="109"/>
    </row>
    <row r="146" spans="1:10" x14ac:dyDescent="0.2">
      <c r="A146" s="195"/>
      <c r="C146" s="194"/>
      <c r="D146" s="333"/>
      <c r="E146" s="333"/>
      <c r="F146" s="333"/>
      <c r="I146" s="333"/>
      <c r="J146" s="109"/>
    </row>
    <row r="147" spans="1:10" x14ac:dyDescent="0.2">
      <c r="A147" s="195"/>
      <c r="C147" s="194"/>
      <c r="D147" s="333"/>
      <c r="E147" s="333"/>
      <c r="F147" s="333"/>
      <c r="G147" s="333"/>
      <c r="H147" s="333"/>
      <c r="I147" s="333"/>
      <c r="J147" s="109"/>
    </row>
    <row r="148" spans="1:10" x14ac:dyDescent="0.2">
      <c r="A148" s="195"/>
      <c r="C148" s="194"/>
      <c r="D148" s="333"/>
      <c r="E148" s="333"/>
      <c r="F148" s="333"/>
      <c r="G148" s="333"/>
      <c r="H148" s="333"/>
      <c r="I148" s="333"/>
      <c r="J148" s="109"/>
    </row>
    <row r="149" spans="1:10" x14ac:dyDescent="0.2">
      <c r="A149" s="195"/>
      <c r="C149" s="194"/>
      <c r="D149" s="333"/>
      <c r="E149" s="333"/>
      <c r="F149" s="333"/>
      <c r="G149" s="333"/>
      <c r="H149" s="333"/>
      <c r="I149" s="333"/>
      <c r="J149" s="109"/>
    </row>
    <row r="150" spans="1:10" x14ac:dyDescent="0.2">
      <c r="A150" s="195"/>
      <c r="C150" s="194"/>
      <c r="D150" s="333"/>
      <c r="E150" s="333"/>
      <c r="F150" s="333"/>
      <c r="G150" s="333"/>
      <c r="H150" s="333"/>
      <c r="I150" s="333"/>
      <c r="J150" s="109"/>
    </row>
    <row r="151" spans="1:10" x14ac:dyDescent="0.2">
      <c r="A151" s="195"/>
      <c r="C151" s="194"/>
      <c r="D151" s="333"/>
      <c r="E151" s="333"/>
      <c r="F151" s="333"/>
      <c r="G151" s="333"/>
      <c r="H151" s="333"/>
      <c r="I151" s="333"/>
      <c r="J151" s="109"/>
    </row>
    <row r="152" spans="1:10" x14ac:dyDescent="0.2">
      <c r="A152" s="195"/>
      <c r="C152" s="194"/>
      <c r="D152" s="333"/>
      <c r="E152" s="333"/>
      <c r="F152" s="333"/>
      <c r="G152" s="333"/>
      <c r="H152" s="333"/>
      <c r="I152" s="333"/>
      <c r="J152" s="109"/>
    </row>
    <row r="153" spans="1:10" x14ac:dyDescent="0.2">
      <c r="A153" s="195"/>
      <c r="C153" s="194"/>
      <c r="D153" s="333"/>
      <c r="E153" s="333"/>
      <c r="F153" s="333"/>
      <c r="G153" s="333"/>
      <c r="H153" s="333"/>
      <c r="I153" s="333"/>
      <c r="J153" s="109"/>
    </row>
    <row r="154" spans="1:10" x14ac:dyDescent="0.2">
      <c r="A154" s="195"/>
      <c r="C154" s="194"/>
      <c r="D154" s="333"/>
      <c r="E154" s="333"/>
      <c r="F154" s="333"/>
      <c r="G154" s="333"/>
      <c r="H154" s="333"/>
      <c r="I154" s="333"/>
      <c r="J154" s="109"/>
    </row>
    <row r="155" spans="1:10" x14ac:dyDescent="0.2">
      <c r="A155" s="195"/>
      <c r="C155" s="194"/>
      <c r="D155" s="333"/>
      <c r="E155" s="333"/>
      <c r="F155" s="333"/>
      <c r="G155" s="333"/>
      <c r="H155" s="333"/>
      <c r="I155" s="333"/>
      <c r="J155" s="109"/>
    </row>
    <row r="156" spans="1:10" x14ac:dyDescent="0.2">
      <c r="A156" s="195"/>
      <c r="C156" s="194"/>
      <c r="D156" s="333"/>
      <c r="E156" s="333"/>
      <c r="F156" s="333"/>
      <c r="G156" s="333"/>
      <c r="H156" s="333"/>
      <c r="I156" s="333"/>
      <c r="J156" s="109"/>
    </row>
    <row r="157" spans="1:10" x14ac:dyDescent="0.2">
      <c r="A157" s="195"/>
      <c r="C157" s="194"/>
      <c r="D157" s="333"/>
      <c r="E157" s="333"/>
      <c r="F157" s="333"/>
      <c r="G157" s="333"/>
      <c r="H157" s="333"/>
      <c r="I157" s="333"/>
      <c r="J157" s="109"/>
    </row>
    <row r="158" spans="1:10" x14ac:dyDescent="0.2">
      <c r="A158" s="195"/>
      <c r="C158" s="194"/>
      <c r="D158" s="333"/>
      <c r="E158" s="333"/>
      <c r="F158" s="333"/>
      <c r="G158" s="333"/>
      <c r="H158" s="333"/>
      <c r="I158" s="333"/>
      <c r="J158" s="109"/>
    </row>
    <row r="159" spans="1:10" x14ac:dyDescent="0.2">
      <c r="A159" s="195"/>
      <c r="C159" s="194"/>
      <c r="D159" s="333"/>
      <c r="E159" s="333"/>
      <c r="F159" s="333"/>
      <c r="G159" s="333"/>
      <c r="H159" s="333"/>
      <c r="I159" s="333"/>
      <c r="J159" s="109"/>
    </row>
    <row r="160" spans="1:10" x14ac:dyDescent="0.2">
      <c r="A160" s="195"/>
      <c r="C160" s="194"/>
      <c r="D160" s="333"/>
      <c r="E160" s="333"/>
      <c r="F160" s="333"/>
      <c r="G160" s="333"/>
      <c r="H160" s="333"/>
      <c r="I160" s="333"/>
      <c r="J160" s="109"/>
    </row>
    <row r="161" spans="1:10" x14ac:dyDescent="0.2">
      <c r="A161" s="195"/>
      <c r="C161" s="194"/>
      <c r="D161" s="333"/>
      <c r="E161" s="333"/>
      <c r="F161" s="333"/>
      <c r="G161" s="333"/>
      <c r="H161" s="333"/>
      <c r="I161" s="333"/>
      <c r="J161" s="109"/>
    </row>
    <row r="162" spans="1:10" x14ac:dyDescent="0.2">
      <c r="A162" s="195"/>
      <c r="C162" s="194"/>
      <c r="D162" s="333"/>
      <c r="E162" s="333"/>
      <c r="F162" s="333"/>
      <c r="G162" s="333"/>
      <c r="H162" s="333"/>
      <c r="I162" s="333"/>
      <c r="J162" s="109"/>
    </row>
    <row r="163" spans="1:10" x14ac:dyDescent="0.2">
      <c r="A163" s="195"/>
      <c r="C163" s="194"/>
      <c r="D163" s="333"/>
      <c r="E163" s="333"/>
      <c r="F163" s="333"/>
      <c r="G163" s="333"/>
      <c r="H163" s="333"/>
      <c r="I163" s="333"/>
      <c r="J163" s="109"/>
    </row>
    <row r="164" spans="1:10" x14ac:dyDescent="0.2">
      <c r="A164" s="195"/>
      <c r="C164" s="194"/>
      <c r="D164" s="333"/>
      <c r="E164" s="333"/>
      <c r="F164" s="333"/>
      <c r="G164" s="333"/>
      <c r="H164" s="333"/>
      <c r="I164" s="333"/>
      <c r="J164" s="109"/>
    </row>
    <row r="165" spans="1:10" x14ac:dyDescent="0.2">
      <c r="A165" s="195"/>
      <c r="C165" s="194"/>
      <c r="D165" s="333"/>
      <c r="E165" s="333"/>
      <c r="F165" s="333"/>
      <c r="G165" s="333"/>
      <c r="H165" s="333"/>
      <c r="I165" s="333"/>
      <c r="J165" s="109"/>
    </row>
    <row r="166" spans="1:10" x14ac:dyDescent="0.2">
      <c r="A166" s="195"/>
      <c r="C166" s="194"/>
      <c r="D166" s="333"/>
      <c r="E166" s="333"/>
      <c r="F166" s="333"/>
      <c r="G166" s="333"/>
      <c r="H166" s="333"/>
      <c r="I166" s="333"/>
      <c r="J166" s="109"/>
    </row>
    <row r="167" spans="1:10" x14ac:dyDescent="0.2">
      <c r="A167" s="195"/>
      <c r="C167" s="194"/>
      <c r="D167" s="333"/>
      <c r="E167" s="333"/>
      <c r="F167" s="333"/>
      <c r="G167" s="333"/>
      <c r="H167" s="333"/>
      <c r="I167" s="333"/>
      <c r="J167" s="109"/>
    </row>
    <row r="168" spans="1:10" x14ac:dyDescent="0.2">
      <c r="A168" s="195"/>
      <c r="C168" s="194"/>
      <c r="D168" s="333"/>
      <c r="E168" s="333"/>
      <c r="F168" s="333"/>
      <c r="G168" s="333"/>
      <c r="H168" s="333"/>
      <c r="I168" s="333"/>
      <c r="J168" s="109"/>
    </row>
    <row r="169" spans="1:10" x14ac:dyDescent="0.2">
      <c r="A169" s="195"/>
      <c r="C169" s="194"/>
      <c r="D169" s="333"/>
      <c r="E169" s="333"/>
      <c r="F169" s="333"/>
      <c r="G169" s="333"/>
      <c r="H169" s="333"/>
      <c r="I169" s="333"/>
      <c r="J169" s="109"/>
    </row>
    <row r="170" spans="1:10" x14ac:dyDescent="0.2">
      <c r="A170" s="195"/>
      <c r="C170" s="194"/>
      <c r="D170" s="333"/>
      <c r="E170" s="333"/>
      <c r="F170" s="333"/>
      <c r="G170" s="333"/>
      <c r="H170" s="333"/>
      <c r="I170" s="333"/>
      <c r="J170" s="109"/>
    </row>
    <row r="171" spans="1:10" x14ac:dyDescent="0.2">
      <c r="A171" s="195"/>
      <c r="C171" s="194"/>
      <c r="D171" s="333"/>
      <c r="E171" s="333"/>
      <c r="F171" s="333"/>
      <c r="G171" s="333"/>
      <c r="H171" s="333"/>
      <c r="I171" s="333"/>
      <c r="J171" s="109"/>
    </row>
    <row r="172" spans="1:10" x14ac:dyDescent="0.2">
      <c r="A172" s="195"/>
      <c r="C172" s="194"/>
      <c r="D172" s="333"/>
      <c r="E172" s="333"/>
      <c r="F172" s="333"/>
      <c r="G172" s="333"/>
      <c r="H172" s="333"/>
      <c r="I172" s="333"/>
      <c r="J172" s="109"/>
    </row>
    <row r="173" spans="1:10" x14ac:dyDescent="0.2">
      <c r="A173" s="195"/>
      <c r="C173" s="194"/>
      <c r="D173" s="333"/>
      <c r="E173" s="333"/>
      <c r="F173" s="333"/>
      <c r="G173" s="333"/>
      <c r="H173" s="333"/>
      <c r="I173" s="333"/>
      <c r="J173" s="109"/>
    </row>
    <row r="174" spans="1:10" x14ac:dyDescent="0.2">
      <c r="A174" s="195"/>
      <c r="C174" s="194"/>
      <c r="D174" s="333"/>
      <c r="E174" s="333"/>
      <c r="F174" s="333"/>
      <c r="G174" s="333"/>
      <c r="H174" s="333"/>
      <c r="I174" s="333"/>
      <c r="J174" s="109"/>
    </row>
    <row r="175" spans="1:10" x14ac:dyDescent="0.2">
      <c r="A175" s="195"/>
      <c r="C175" s="194"/>
      <c r="D175" s="333"/>
      <c r="E175" s="333"/>
      <c r="F175" s="333"/>
      <c r="G175" s="333"/>
      <c r="H175" s="333"/>
      <c r="I175" s="333"/>
      <c r="J175" s="109"/>
    </row>
    <row r="176" spans="1:10" x14ac:dyDescent="0.2">
      <c r="A176" s="195"/>
      <c r="C176" s="194"/>
      <c r="D176" s="333"/>
      <c r="E176" s="333"/>
      <c r="F176" s="333"/>
      <c r="G176" s="333"/>
      <c r="H176" s="333"/>
      <c r="I176" s="333"/>
      <c r="J176" s="109"/>
    </row>
    <row r="177" spans="1:10" x14ac:dyDescent="0.2">
      <c r="A177" s="195"/>
      <c r="C177" s="194"/>
      <c r="D177" s="333"/>
      <c r="E177" s="333"/>
      <c r="F177" s="333"/>
      <c r="G177" s="333"/>
      <c r="H177" s="333"/>
      <c r="I177" s="333"/>
      <c r="J177" s="109"/>
    </row>
    <row r="178" spans="1:10" x14ac:dyDescent="0.2">
      <c r="A178" s="195"/>
      <c r="C178" s="194"/>
      <c r="D178" s="333"/>
      <c r="E178" s="333"/>
      <c r="F178" s="333"/>
      <c r="G178" s="333"/>
      <c r="H178" s="333"/>
      <c r="I178" s="333"/>
      <c r="J178" s="109"/>
    </row>
    <row r="179" spans="1:10" x14ac:dyDescent="0.2">
      <c r="A179" s="195"/>
      <c r="C179" s="194"/>
      <c r="D179" s="333"/>
      <c r="E179" s="333"/>
      <c r="F179" s="333"/>
      <c r="G179" s="333"/>
      <c r="H179" s="333"/>
      <c r="I179" s="333"/>
      <c r="J179" s="109"/>
    </row>
    <row r="180" spans="1:10" x14ac:dyDescent="0.2">
      <c r="A180" s="195"/>
      <c r="C180" s="194"/>
      <c r="D180" s="333"/>
      <c r="E180" s="333"/>
      <c r="F180" s="333"/>
      <c r="G180" s="333"/>
      <c r="H180" s="333"/>
      <c r="I180" s="333"/>
      <c r="J180" s="109"/>
    </row>
    <row r="181" spans="1:10" x14ac:dyDescent="0.2">
      <c r="A181" s="195"/>
      <c r="C181" s="194"/>
      <c r="D181" s="333"/>
      <c r="E181" s="333"/>
      <c r="F181" s="333"/>
      <c r="G181" s="333"/>
      <c r="H181" s="333"/>
      <c r="I181" s="333"/>
      <c r="J181" s="109"/>
    </row>
    <row r="182" spans="1:10" x14ac:dyDescent="0.2">
      <c r="A182" s="196"/>
      <c r="J182" s="109"/>
    </row>
    <row r="183" spans="1:10" x14ac:dyDescent="0.2">
      <c r="A183" s="196"/>
      <c r="J183" s="109"/>
    </row>
    <row r="184" spans="1:10" x14ac:dyDescent="0.2">
      <c r="A184" s="196"/>
      <c r="J184" s="109"/>
    </row>
    <row r="185" spans="1:10" x14ac:dyDescent="0.2">
      <c r="A185" s="196"/>
      <c r="J185" s="109"/>
    </row>
    <row r="186" spans="1:10" x14ac:dyDescent="0.2">
      <c r="A186" s="196"/>
      <c r="J186" s="109"/>
    </row>
    <row r="187" spans="1:10" x14ac:dyDescent="0.2">
      <c r="A187" s="196"/>
      <c r="J187" s="109"/>
    </row>
    <row r="188" spans="1:10" x14ac:dyDescent="0.2">
      <c r="A188" s="196"/>
      <c r="J188" s="109"/>
    </row>
    <row r="189" spans="1:10" x14ac:dyDescent="0.2">
      <c r="A189" s="196"/>
      <c r="J189" s="109"/>
    </row>
    <row r="190" spans="1:10" x14ac:dyDescent="0.2">
      <c r="A190" s="196"/>
      <c r="J190" s="109"/>
    </row>
    <row r="191" spans="1:10" x14ac:dyDescent="0.2">
      <c r="A191" s="196"/>
      <c r="J191" s="109"/>
    </row>
    <row r="192" spans="1:10" x14ac:dyDescent="0.2">
      <c r="A192" s="196"/>
      <c r="J192" s="109"/>
    </row>
    <row r="193" spans="1:10" x14ac:dyDescent="0.2">
      <c r="A193" s="196"/>
      <c r="B193" s="109"/>
      <c r="C193" s="109"/>
      <c r="D193" s="109"/>
      <c r="E193" s="109"/>
      <c r="F193" s="109"/>
      <c r="G193" s="109"/>
      <c r="H193" s="109"/>
      <c r="I193" s="109"/>
      <c r="J193" s="109"/>
    </row>
    <row r="194" spans="1:10" x14ac:dyDescent="0.2">
      <c r="A194" s="196"/>
      <c r="B194" s="109"/>
      <c r="C194" s="109"/>
      <c r="D194" s="109"/>
      <c r="E194" s="109"/>
      <c r="F194" s="109"/>
      <c r="G194" s="109"/>
      <c r="H194" s="109"/>
      <c r="I194" s="109"/>
      <c r="J194" s="109"/>
    </row>
    <row r="195" spans="1:10" x14ac:dyDescent="0.2">
      <c r="A195" s="196"/>
      <c r="B195" s="109"/>
      <c r="C195" s="109"/>
      <c r="D195" s="109"/>
      <c r="E195" s="109"/>
      <c r="F195" s="109"/>
      <c r="G195" s="109"/>
      <c r="H195" s="109"/>
      <c r="I195" s="109"/>
      <c r="J195" s="109"/>
    </row>
    <row r="196" spans="1:10" x14ac:dyDescent="0.2">
      <c r="A196" s="196"/>
      <c r="B196" s="109"/>
      <c r="C196" s="109"/>
      <c r="D196" s="109"/>
      <c r="E196" s="109"/>
      <c r="F196" s="109"/>
      <c r="G196" s="109"/>
      <c r="H196" s="109"/>
      <c r="I196" s="109"/>
      <c r="J196" s="109"/>
    </row>
    <row r="197" spans="1:10" x14ac:dyDescent="0.2">
      <c r="A197" s="196"/>
      <c r="B197" s="109"/>
      <c r="C197" s="109"/>
      <c r="D197" s="109"/>
      <c r="E197" s="109"/>
      <c r="F197" s="109"/>
      <c r="G197" s="109"/>
      <c r="H197" s="109"/>
      <c r="I197" s="109"/>
      <c r="J197" s="109"/>
    </row>
    <row r="198" spans="1:10" x14ac:dyDescent="0.2">
      <c r="A198" s="196"/>
      <c r="B198" s="109"/>
      <c r="C198" s="109"/>
      <c r="D198" s="109"/>
      <c r="E198" s="109"/>
      <c r="F198" s="109"/>
      <c r="G198" s="109"/>
      <c r="H198" s="109"/>
      <c r="I198" s="109"/>
      <c r="J198" s="109"/>
    </row>
    <row r="199" spans="1:10" x14ac:dyDescent="0.2">
      <c r="A199" s="196"/>
      <c r="B199" s="109"/>
      <c r="C199" s="109"/>
      <c r="D199" s="109"/>
      <c r="E199" s="109"/>
      <c r="F199" s="109"/>
      <c r="G199" s="109"/>
      <c r="H199" s="109"/>
      <c r="I199" s="109"/>
      <c r="J199" s="109"/>
    </row>
    <row r="200" spans="1:10" x14ac:dyDescent="0.2">
      <c r="A200" s="196"/>
      <c r="B200" s="109"/>
      <c r="C200" s="109"/>
      <c r="D200" s="109"/>
      <c r="E200" s="109"/>
      <c r="F200" s="109"/>
      <c r="G200" s="109"/>
      <c r="H200" s="109"/>
      <c r="I200" s="109"/>
      <c r="J200" s="109"/>
    </row>
    <row r="201" spans="1:10" x14ac:dyDescent="0.2">
      <c r="A201" s="196"/>
      <c r="B201" s="109"/>
      <c r="C201" s="109"/>
      <c r="D201" s="109"/>
      <c r="E201" s="109"/>
      <c r="F201" s="109"/>
      <c r="G201" s="109"/>
      <c r="H201" s="109"/>
      <c r="I201" s="109"/>
      <c r="J201" s="109"/>
    </row>
    <row r="202" spans="1:10" x14ac:dyDescent="0.2">
      <c r="A202" s="196"/>
      <c r="B202" s="109"/>
      <c r="C202" s="109"/>
      <c r="D202" s="109"/>
      <c r="E202" s="109"/>
      <c r="F202" s="109"/>
      <c r="G202" s="109"/>
      <c r="H202" s="109"/>
      <c r="I202" s="109"/>
      <c r="J202" s="109"/>
    </row>
    <row r="203" spans="1:10" x14ac:dyDescent="0.2">
      <c r="A203" s="196"/>
      <c r="B203" s="109"/>
      <c r="C203" s="109"/>
      <c r="D203" s="109"/>
      <c r="E203" s="109"/>
      <c r="F203" s="109"/>
      <c r="G203" s="109"/>
      <c r="H203" s="109"/>
      <c r="I203" s="109"/>
      <c r="J203" s="109"/>
    </row>
    <row r="204" spans="1:10" x14ac:dyDescent="0.2">
      <c r="A204" s="196"/>
      <c r="B204" s="109"/>
      <c r="C204" s="109"/>
      <c r="D204" s="109"/>
      <c r="E204" s="109"/>
      <c r="F204" s="109"/>
      <c r="G204" s="109"/>
      <c r="H204" s="109"/>
      <c r="I204" s="109"/>
      <c r="J204" s="109"/>
    </row>
    <row r="205" spans="1:10" x14ac:dyDescent="0.2">
      <c r="A205" s="196"/>
      <c r="B205" s="109"/>
      <c r="C205" s="109"/>
      <c r="D205" s="109"/>
      <c r="E205" s="109"/>
      <c r="F205" s="109"/>
      <c r="G205" s="109"/>
      <c r="H205" s="109"/>
      <c r="I205" s="109"/>
      <c r="J205" s="109"/>
    </row>
    <row r="206" spans="1:10" x14ac:dyDescent="0.2">
      <c r="A206" s="196"/>
      <c r="B206" s="109"/>
      <c r="C206" s="109"/>
      <c r="D206" s="109"/>
      <c r="E206" s="109"/>
      <c r="F206" s="109"/>
      <c r="G206" s="109"/>
      <c r="H206" s="109"/>
      <c r="I206" s="109"/>
      <c r="J206" s="109"/>
    </row>
    <row r="207" spans="1:10" x14ac:dyDescent="0.2">
      <c r="A207" s="196"/>
      <c r="B207" s="109"/>
      <c r="C207" s="109"/>
      <c r="D207" s="109"/>
      <c r="E207" s="109"/>
      <c r="F207" s="109"/>
      <c r="G207" s="109"/>
      <c r="H207" s="109"/>
      <c r="I207" s="109"/>
      <c r="J207" s="109"/>
    </row>
    <row r="208" spans="1:10" x14ac:dyDescent="0.2">
      <c r="A208" s="196"/>
      <c r="B208" s="109"/>
      <c r="C208" s="109"/>
      <c r="D208" s="109"/>
      <c r="E208" s="109"/>
      <c r="F208" s="109"/>
      <c r="G208" s="109"/>
      <c r="H208" s="109"/>
      <c r="I208" s="109"/>
      <c r="J208" s="109"/>
    </row>
    <row r="209" spans="1:10" x14ac:dyDescent="0.2">
      <c r="A209" s="196"/>
      <c r="B209" s="109"/>
      <c r="C209" s="109"/>
      <c r="D209" s="109"/>
      <c r="E209" s="109"/>
      <c r="F209" s="109"/>
      <c r="G209" s="109"/>
      <c r="H209" s="109"/>
      <c r="I209" s="109"/>
      <c r="J209" s="109"/>
    </row>
    <row r="210" spans="1:10" x14ac:dyDescent="0.2">
      <c r="A210" s="196"/>
      <c r="B210" s="109"/>
      <c r="C210" s="109"/>
      <c r="D210" s="109"/>
      <c r="E210" s="109"/>
      <c r="F210" s="109"/>
      <c r="G210" s="109"/>
      <c r="H210" s="109"/>
      <c r="I210" s="109"/>
      <c r="J210" s="109"/>
    </row>
    <row r="211" spans="1:10" x14ac:dyDescent="0.2">
      <c r="A211" s="196"/>
      <c r="B211" s="109"/>
      <c r="C211" s="109"/>
      <c r="D211" s="109"/>
      <c r="E211" s="109"/>
      <c r="F211" s="109"/>
      <c r="G211" s="109"/>
      <c r="H211" s="109"/>
      <c r="I211" s="109"/>
      <c r="J211" s="109"/>
    </row>
    <row r="212" spans="1:10" x14ac:dyDescent="0.2">
      <c r="A212" s="196"/>
      <c r="B212" s="109"/>
      <c r="C212" s="109"/>
      <c r="D212" s="109"/>
      <c r="E212" s="109"/>
      <c r="F212" s="109"/>
      <c r="G212" s="109"/>
      <c r="H212" s="109"/>
      <c r="I212" s="109"/>
      <c r="J212" s="109"/>
    </row>
    <row r="213" spans="1:10" x14ac:dyDescent="0.2">
      <c r="A213" s="196"/>
      <c r="B213" s="109"/>
      <c r="C213" s="109"/>
      <c r="D213" s="109"/>
      <c r="E213" s="109"/>
      <c r="F213" s="109"/>
      <c r="G213" s="109"/>
      <c r="H213" s="109"/>
      <c r="I213" s="109"/>
      <c r="J213" s="109"/>
    </row>
    <row r="214" spans="1:10" x14ac:dyDescent="0.2">
      <c r="A214" s="196"/>
      <c r="B214" s="109"/>
      <c r="C214" s="109"/>
      <c r="D214" s="109"/>
      <c r="E214" s="109"/>
      <c r="F214" s="109"/>
      <c r="G214" s="109"/>
      <c r="H214" s="109"/>
      <c r="I214" s="109"/>
      <c r="J214" s="109"/>
    </row>
    <row r="215" spans="1:10" x14ac:dyDescent="0.2">
      <c r="A215" s="196"/>
      <c r="B215" s="109"/>
      <c r="C215" s="109"/>
      <c r="D215" s="109"/>
      <c r="E215" s="109"/>
      <c r="F215" s="109"/>
      <c r="G215" s="109"/>
      <c r="H215" s="109"/>
      <c r="I215" s="109"/>
      <c r="J215" s="109"/>
    </row>
    <row r="216" spans="1:10" x14ac:dyDescent="0.2">
      <c r="A216" s="196"/>
      <c r="B216" s="109"/>
      <c r="C216" s="109"/>
      <c r="D216" s="109"/>
      <c r="E216" s="109"/>
      <c r="F216" s="109"/>
      <c r="G216" s="109"/>
      <c r="H216" s="109"/>
      <c r="I216" s="109"/>
      <c r="J216" s="109"/>
    </row>
    <row r="217" spans="1:10" x14ac:dyDescent="0.2">
      <c r="A217" s="196"/>
      <c r="B217" s="109"/>
      <c r="C217" s="109"/>
      <c r="D217" s="109"/>
      <c r="E217" s="109"/>
      <c r="F217" s="109"/>
      <c r="G217" s="109"/>
      <c r="H217" s="109"/>
      <c r="I217" s="109"/>
      <c r="J217" s="109"/>
    </row>
    <row r="218" spans="1:10" x14ac:dyDescent="0.2">
      <c r="A218" s="196"/>
      <c r="B218" s="109"/>
      <c r="C218" s="109"/>
      <c r="D218" s="109"/>
      <c r="E218" s="109"/>
      <c r="F218" s="109"/>
      <c r="G218" s="109"/>
      <c r="H218" s="109"/>
      <c r="I218" s="109"/>
      <c r="J218" s="109"/>
    </row>
    <row r="219" spans="1:10" x14ac:dyDescent="0.2">
      <c r="A219" s="196"/>
      <c r="B219" s="109"/>
      <c r="C219" s="109"/>
      <c r="D219" s="109"/>
      <c r="E219" s="109"/>
      <c r="F219" s="109"/>
      <c r="G219" s="109"/>
      <c r="H219" s="109"/>
      <c r="I219" s="109"/>
      <c r="J219" s="109"/>
    </row>
    <row r="220" spans="1:10" x14ac:dyDescent="0.2">
      <c r="A220" s="196"/>
      <c r="B220" s="109"/>
      <c r="C220" s="109"/>
      <c r="D220" s="109"/>
      <c r="E220" s="109"/>
      <c r="F220" s="109"/>
      <c r="G220" s="109"/>
      <c r="H220" s="109"/>
      <c r="I220" s="109"/>
      <c r="J220" s="109"/>
    </row>
    <row r="221" spans="1:10" x14ac:dyDescent="0.2">
      <c r="A221" s="196"/>
      <c r="B221" s="109"/>
      <c r="C221" s="109"/>
      <c r="D221" s="109"/>
      <c r="E221" s="109"/>
      <c r="F221" s="109"/>
      <c r="G221" s="109"/>
      <c r="H221" s="109"/>
      <c r="I221" s="109"/>
      <c r="J221" s="109"/>
    </row>
    <row r="222" spans="1:10" x14ac:dyDescent="0.2">
      <c r="A222" s="196"/>
      <c r="B222" s="109"/>
      <c r="C222" s="109"/>
      <c r="D222" s="109"/>
      <c r="E222" s="109"/>
      <c r="F222" s="109"/>
      <c r="G222" s="109"/>
      <c r="H222" s="109"/>
      <c r="I222" s="109"/>
      <c r="J222" s="109"/>
    </row>
    <row r="223" spans="1:10" x14ac:dyDescent="0.2">
      <c r="A223" s="196"/>
      <c r="B223" s="109"/>
      <c r="C223" s="109"/>
      <c r="D223" s="109"/>
      <c r="E223" s="109"/>
      <c r="F223" s="109"/>
      <c r="G223" s="109"/>
      <c r="H223" s="109"/>
      <c r="I223" s="109"/>
      <c r="J223" s="109"/>
    </row>
    <row r="224" spans="1:10" x14ac:dyDescent="0.2">
      <c r="A224" s="196"/>
      <c r="B224" s="109"/>
      <c r="C224" s="109"/>
      <c r="D224" s="109"/>
      <c r="E224" s="109"/>
      <c r="F224" s="109"/>
      <c r="G224" s="109"/>
      <c r="H224" s="109"/>
      <c r="I224" s="109"/>
      <c r="J224" s="109"/>
    </row>
    <row r="225" spans="1:10" x14ac:dyDescent="0.2">
      <c r="A225" s="196"/>
      <c r="B225" s="109"/>
      <c r="C225" s="109"/>
      <c r="D225" s="109"/>
      <c r="E225" s="109"/>
      <c r="F225" s="109"/>
      <c r="G225" s="109"/>
      <c r="H225" s="109"/>
      <c r="I225" s="109"/>
      <c r="J225" s="109"/>
    </row>
    <row r="226" spans="1:10" x14ac:dyDescent="0.2">
      <c r="A226" s="196"/>
      <c r="B226" s="109"/>
      <c r="C226" s="109"/>
      <c r="D226" s="109"/>
      <c r="E226" s="109"/>
      <c r="F226" s="109"/>
      <c r="G226" s="109"/>
      <c r="H226" s="109"/>
      <c r="I226" s="109"/>
      <c r="J226" s="109"/>
    </row>
    <row r="227" spans="1:10" x14ac:dyDescent="0.2">
      <c r="A227" s="196"/>
      <c r="B227" s="109"/>
      <c r="C227" s="109"/>
      <c r="D227" s="109"/>
      <c r="E227" s="109"/>
      <c r="F227" s="109"/>
      <c r="G227" s="109"/>
      <c r="H227" s="109"/>
      <c r="I227" s="109"/>
      <c r="J227" s="109"/>
    </row>
    <row r="228" spans="1:10" x14ac:dyDescent="0.2">
      <c r="A228" s="196"/>
      <c r="B228" s="109"/>
      <c r="C228" s="109"/>
      <c r="D228" s="109"/>
      <c r="E228" s="109"/>
      <c r="F228" s="109"/>
      <c r="G228" s="109"/>
      <c r="H228" s="109"/>
      <c r="I228" s="109"/>
      <c r="J228" s="109"/>
    </row>
    <row r="229" spans="1:10" x14ac:dyDescent="0.2">
      <c r="A229" s="196"/>
      <c r="B229" s="109"/>
      <c r="C229" s="109"/>
      <c r="D229" s="109"/>
      <c r="E229" s="109"/>
      <c r="F229" s="109"/>
      <c r="G229" s="109"/>
      <c r="H229" s="109"/>
      <c r="I229" s="109"/>
      <c r="J229" s="109"/>
    </row>
    <row r="230" spans="1:10" x14ac:dyDescent="0.2">
      <c r="A230" s="196"/>
      <c r="B230" s="109"/>
      <c r="C230" s="109"/>
      <c r="D230" s="109"/>
      <c r="E230" s="109"/>
      <c r="F230" s="109"/>
      <c r="G230" s="109"/>
      <c r="H230" s="109"/>
      <c r="I230" s="109"/>
      <c r="J230" s="109"/>
    </row>
    <row r="231" spans="1:10" x14ac:dyDescent="0.2">
      <c r="A231" s="196"/>
      <c r="B231" s="109"/>
      <c r="C231" s="109"/>
      <c r="D231" s="109"/>
      <c r="E231" s="109"/>
      <c r="F231" s="109"/>
      <c r="G231" s="109"/>
      <c r="H231" s="109"/>
      <c r="I231" s="109"/>
      <c r="J231" s="109"/>
    </row>
    <row r="232" spans="1:10" x14ac:dyDescent="0.2">
      <c r="A232" s="196"/>
      <c r="B232" s="109"/>
      <c r="C232" s="109"/>
      <c r="D232" s="109"/>
      <c r="E232" s="109"/>
      <c r="F232" s="109"/>
      <c r="G232" s="109"/>
      <c r="H232" s="109"/>
      <c r="I232" s="109"/>
      <c r="J232" s="109"/>
    </row>
    <row r="233" spans="1:10" x14ac:dyDescent="0.2">
      <c r="A233" s="196"/>
      <c r="B233" s="109"/>
      <c r="C233" s="109"/>
      <c r="D233" s="109"/>
      <c r="E233" s="109"/>
      <c r="F233" s="109"/>
      <c r="G233" s="109"/>
      <c r="H233" s="109"/>
      <c r="I233" s="109"/>
      <c r="J233" s="109"/>
    </row>
    <row r="234" spans="1:10" x14ac:dyDescent="0.2">
      <c r="A234" s="196"/>
      <c r="B234" s="109"/>
      <c r="C234" s="109"/>
      <c r="D234" s="109"/>
      <c r="E234" s="109"/>
      <c r="F234" s="109"/>
      <c r="G234" s="109"/>
      <c r="H234" s="109"/>
      <c r="I234" s="109"/>
      <c r="J234" s="109"/>
    </row>
    <row r="235" spans="1:10" x14ac:dyDescent="0.2">
      <c r="A235" s="196"/>
      <c r="B235" s="109"/>
      <c r="C235" s="109"/>
      <c r="D235" s="109"/>
      <c r="E235" s="109"/>
      <c r="F235" s="109"/>
      <c r="G235" s="109"/>
      <c r="H235" s="109"/>
      <c r="I235" s="109"/>
      <c r="J235" s="109"/>
    </row>
    <row r="236" spans="1:10" x14ac:dyDescent="0.2">
      <c r="A236" s="196"/>
      <c r="B236" s="109"/>
      <c r="C236" s="109"/>
      <c r="D236" s="109"/>
      <c r="E236" s="109"/>
      <c r="F236" s="109"/>
      <c r="G236" s="109"/>
      <c r="H236" s="109"/>
      <c r="I236" s="109"/>
      <c r="J236" s="109"/>
    </row>
    <row r="237" spans="1:10" x14ac:dyDescent="0.2">
      <c r="A237" s="196"/>
      <c r="B237" s="109"/>
      <c r="C237" s="109"/>
      <c r="D237" s="109"/>
      <c r="E237" s="109"/>
      <c r="F237" s="109"/>
      <c r="G237" s="109"/>
      <c r="H237" s="109"/>
      <c r="I237" s="109"/>
      <c r="J237" s="109"/>
    </row>
    <row r="238" spans="1:10" x14ac:dyDescent="0.2">
      <c r="A238" s="196"/>
      <c r="B238" s="109"/>
      <c r="C238" s="109"/>
      <c r="D238" s="109"/>
      <c r="E238" s="109"/>
      <c r="F238" s="109"/>
      <c r="G238" s="109"/>
      <c r="H238" s="109"/>
      <c r="I238" s="109"/>
      <c r="J238" s="109"/>
    </row>
    <row r="239" spans="1:10" x14ac:dyDescent="0.2">
      <c r="A239" s="196"/>
      <c r="B239" s="109"/>
      <c r="C239" s="109"/>
      <c r="D239" s="109"/>
      <c r="E239" s="109"/>
      <c r="F239" s="109"/>
      <c r="G239" s="109"/>
      <c r="H239" s="109"/>
      <c r="I239" s="109"/>
      <c r="J239" s="109"/>
    </row>
    <row r="240" spans="1:10" x14ac:dyDescent="0.2">
      <c r="A240" s="196"/>
      <c r="B240" s="109"/>
      <c r="C240" s="109"/>
      <c r="D240" s="109"/>
      <c r="E240" s="109"/>
      <c r="F240" s="109"/>
      <c r="G240" s="109"/>
      <c r="H240" s="109"/>
      <c r="I240" s="109"/>
      <c r="J240" s="109"/>
    </row>
    <row r="241" spans="1:10" x14ac:dyDescent="0.2">
      <c r="A241" s="196"/>
      <c r="B241" s="109"/>
      <c r="C241" s="109"/>
      <c r="D241" s="109"/>
      <c r="E241" s="109"/>
      <c r="F241" s="109"/>
      <c r="G241" s="109"/>
      <c r="H241" s="109"/>
      <c r="I241" s="109"/>
      <c r="J241" s="109"/>
    </row>
    <row r="242" spans="1:10" x14ac:dyDescent="0.2">
      <c r="A242" s="196"/>
      <c r="B242" s="109"/>
      <c r="C242" s="109"/>
      <c r="D242" s="109"/>
      <c r="E242" s="109"/>
      <c r="F242" s="109"/>
      <c r="G242" s="109"/>
      <c r="H242" s="109"/>
      <c r="I242" s="109"/>
      <c r="J242" s="109"/>
    </row>
    <row r="243" spans="1:10" x14ac:dyDescent="0.2">
      <c r="A243" s="196"/>
      <c r="B243" s="109"/>
      <c r="C243" s="109"/>
      <c r="D243" s="109"/>
      <c r="E243" s="109"/>
      <c r="F243" s="109"/>
      <c r="G243" s="109"/>
      <c r="H243" s="109"/>
      <c r="I243" s="109"/>
      <c r="J243" s="109"/>
    </row>
    <row r="244" spans="1:10" x14ac:dyDescent="0.2">
      <c r="A244" s="196"/>
      <c r="B244" s="109"/>
      <c r="C244" s="109"/>
      <c r="D244" s="109"/>
      <c r="E244" s="109"/>
      <c r="F244" s="109"/>
      <c r="G244" s="109"/>
      <c r="H244" s="109"/>
      <c r="I244" s="109"/>
      <c r="J244" s="109"/>
    </row>
    <row r="245" spans="1:10" x14ac:dyDescent="0.2">
      <c r="A245" s="196"/>
      <c r="B245" s="109"/>
      <c r="C245" s="109"/>
      <c r="D245" s="109"/>
      <c r="E245" s="109"/>
      <c r="F245" s="109"/>
      <c r="G245" s="109"/>
      <c r="H245" s="109"/>
      <c r="I245" s="109"/>
      <c r="J245" s="109"/>
    </row>
    <row r="246" spans="1:10" x14ac:dyDescent="0.2">
      <c r="A246" s="196"/>
      <c r="B246" s="109"/>
      <c r="C246" s="109"/>
      <c r="D246" s="109"/>
      <c r="E246" s="109"/>
      <c r="F246" s="109"/>
      <c r="G246" s="109"/>
      <c r="H246" s="109"/>
      <c r="I246" s="109"/>
      <c r="J246" s="109"/>
    </row>
    <row r="247" spans="1:10" x14ac:dyDescent="0.2">
      <c r="A247" s="196"/>
      <c r="B247" s="109"/>
      <c r="C247" s="109"/>
      <c r="D247" s="109"/>
      <c r="E247" s="109"/>
      <c r="F247" s="109"/>
      <c r="G247" s="109"/>
      <c r="H247" s="109"/>
      <c r="I247" s="109"/>
      <c r="J247" s="109"/>
    </row>
    <row r="248" spans="1:10" x14ac:dyDescent="0.2">
      <c r="A248" s="196"/>
      <c r="B248" s="109"/>
      <c r="C248" s="109"/>
      <c r="D248" s="109"/>
      <c r="E248" s="109"/>
      <c r="F248" s="109"/>
      <c r="G248" s="109"/>
      <c r="H248" s="109"/>
      <c r="I248" s="109"/>
      <c r="J248" s="109"/>
    </row>
    <row r="249" spans="1:10" x14ac:dyDescent="0.2">
      <c r="A249" s="196"/>
      <c r="B249" s="109"/>
      <c r="C249" s="109"/>
      <c r="D249" s="109"/>
      <c r="E249" s="109"/>
      <c r="F249" s="109"/>
      <c r="G249" s="109"/>
      <c r="H249" s="109"/>
      <c r="I249" s="109"/>
      <c r="J249" s="109"/>
    </row>
    <row r="250" spans="1:10" x14ac:dyDescent="0.2">
      <c r="A250" s="196"/>
      <c r="B250" s="109"/>
      <c r="C250" s="109"/>
      <c r="D250" s="109"/>
      <c r="E250" s="109"/>
      <c r="F250" s="109"/>
      <c r="G250" s="109"/>
      <c r="H250" s="109"/>
      <c r="I250" s="109"/>
      <c r="J250" s="109"/>
    </row>
    <row r="251" spans="1:10" x14ac:dyDescent="0.2">
      <c r="A251" s="196"/>
      <c r="B251" s="109"/>
      <c r="C251" s="109"/>
      <c r="D251" s="109"/>
      <c r="E251" s="109"/>
      <c r="F251" s="109"/>
      <c r="G251" s="109"/>
      <c r="H251" s="109"/>
      <c r="I251" s="109"/>
      <c r="J251" s="109"/>
    </row>
    <row r="252" spans="1:10" x14ac:dyDescent="0.2">
      <c r="A252" s="196"/>
      <c r="B252" s="109"/>
      <c r="C252" s="109"/>
      <c r="D252" s="109"/>
      <c r="E252" s="109"/>
      <c r="F252" s="109"/>
      <c r="G252" s="109"/>
      <c r="H252" s="109"/>
      <c r="I252" s="109"/>
      <c r="J252" s="109"/>
    </row>
    <row r="253" spans="1:10" x14ac:dyDescent="0.2">
      <c r="A253" s="196"/>
      <c r="B253" s="109"/>
      <c r="C253" s="109"/>
      <c r="D253" s="109"/>
      <c r="E253" s="109"/>
      <c r="F253" s="109"/>
      <c r="G253" s="109"/>
      <c r="H253" s="109"/>
      <c r="I253" s="109"/>
      <c r="J253" s="109"/>
    </row>
    <row r="254" spans="1:10" x14ac:dyDescent="0.2">
      <c r="A254" s="196"/>
      <c r="B254" s="109"/>
      <c r="C254" s="109"/>
      <c r="D254" s="109"/>
      <c r="E254" s="109"/>
      <c r="F254" s="109"/>
      <c r="G254" s="109"/>
      <c r="H254" s="109"/>
      <c r="I254" s="109"/>
      <c r="J254" s="109"/>
    </row>
    <row r="255" spans="1:10" x14ac:dyDescent="0.2">
      <c r="A255" s="196"/>
      <c r="B255" s="109"/>
      <c r="C255" s="109"/>
      <c r="D255" s="109"/>
      <c r="E255" s="109"/>
      <c r="F255" s="109"/>
      <c r="G255" s="109"/>
      <c r="H255" s="109"/>
      <c r="I255" s="109"/>
      <c r="J255" s="109"/>
    </row>
    <row r="256" spans="1:10" x14ac:dyDescent="0.2">
      <c r="A256" s="196"/>
      <c r="B256" s="109"/>
      <c r="C256" s="109"/>
      <c r="D256" s="109"/>
      <c r="E256" s="109"/>
      <c r="F256" s="109"/>
      <c r="G256" s="109"/>
      <c r="H256" s="109"/>
      <c r="I256" s="109"/>
      <c r="J256" s="109"/>
    </row>
    <row r="257" spans="1:10" x14ac:dyDescent="0.2">
      <c r="A257" s="196"/>
      <c r="B257" s="109"/>
      <c r="C257" s="109"/>
      <c r="D257" s="109"/>
      <c r="E257" s="109"/>
      <c r="F257" s="109"/>
      <c r="G257" s="109"/>
      <c r="H257" s="109"/>
      <c r="I257" s="109"/>
      <c r="J257" s="109"/>
    </row>
    <row r="258" spans="1:10" x14ac:dyDescent="0.2">
      <c r="A258" s="196"/>
      <c r="B258" s="109"/>
      <c r="C258" s="109"/>
      <c r="D258" s="109"/>
      <c r="E258" s="109"/>
      <c r="F258" s="109"/>
      <c r="G258" s="109"/>
      <c r="H258" s="109"/>
      <c r="I258" s="109"/>
      <c r="J258" s="109"/>
    </row>
    <row r="259" spans="1:10" x14ac:dyDescent="0.2">
      <c r="A259" s="196"/>
      <c r="B259" s="109"/>
      <c r="C259" s="109"/>
      <c r="D259" s="109"/>
      <c r="E259" s="109"/>
      <c r="F259" s="109"/>
      <c r="G259" s="109"/>
      <c r="H259" s="109"/>
      <c r="I259" s="109"/>
      <c r="J259" s="109"/>
    </row>
    <row r="260" spans="1:10" x14ac:dyDescent="0.2">
      <c r="A260" s="196"/>
      <c r="B260" s="109"/>
      <c r="C260" s="109"/>
      <c r="D260" s="109"/>
      <c r="E260" s="109"/>
      <c r="F260" s="109"/>
      <c r="G260" s="109"/>
      <c r="H260" s="109"/>
      <c r="I260" s="109"/>
      <c r="J260" s="109"/>
    </row>
    <row r="261" spans="1:10" x14ac:dyDescent="0.2">
      <c r="A261" s="196"/>
      <c r="B261" s="109"/>
      <c r="C261" s="109"/>
      <c r="D261" s="109"/>
      <c r="E261" s="109"/>
      <c r="F261" s="109"/>
      <c r="G261" s="109"/>
      <c r="H261" s="109"/>
      <c r="I261" s="109"/>
      <c r="J261" s="109"/>
    </row>
    <row r="262" spans="1:10" x14ac:dyDescent="0.2">
      <c r="A262" s="196"/>
      <c r="B262" s="109"/>
      <c r="C262" s="109"/>
      <c r="D262" s="109"/>
      <c r="E262" s="109"/>
      <c r="F262" s="109"/>
      <c r="G262" s="109"/>
      <c r="H262" s="109"/>
      <c r="I262" s="109"/>
      <c r="J262" s="109"/>
    </row>
    <row r="263" spans="1:10" x14ac:dyDescent="0.2">
      <c r="A263" s="196"/>
      <c r="B263" s="109"/>
      <c r="C263" s="109"/>
      <c r="D263" s="109"/>
      <c r="E263" s="109"/>
      <c r="F263" s="109"/>
      <c r="G263" s="109"/>
      <c r="H263" s="109"/>
      <c r="I263" s="109"/>
      <c r="J263" s="109"/>
    </row>
    <row r="264" spans="1:10" x14ac:dyDescent="0.2">
      <c r="A264" s="196"/>
      <c r="B264" s="109"/>
      <c r="C264" s="109"/>
      <c r="D264" s="109"/>
      <c r="E264" s="109"/>
      <c r="F264" s="109"/>
      <c r="G264" s="109"/>
      <c r="H264" s="109"/>
      <c r="I264" s="109"/>
      <c r="J264" s="109"/>
    </row>
    <row r="265" spans="1:10" x14ac:dyDescent="0.2">
      <c r="A265" s="196"/>
      <c r="B265" s="109"/>
      <c r="C265" s="109"/>
      <c r="D265" s="109"/>
      <c r="E265" s="109"/>
      <c r="F265" s="109"/>
      <c r="G265" s="109"/>
      <c r="H265" s="109"/>
      <c r="I265" s="109"/>
      <c r="J265" s="109"/>
    </row>
    <row r="266" spans="1:10" x14ac:dyDescent="0.2">
      <c r="A266" s="196"/>
      <c r="B266" s="109"/>
      <c r="C266" s="109"/>
      <c r="D266" s="109"/>
      <c r="E266" s="109"/>
      <c r="F266" s="109"/>
      <c r="G266" s="109"/>
      <c r="H266" s="109"/>
      <c r="I266" s="109"/>
      <c r="J266" s="109"/>
    </row>
    <row r="267" spans="1:10" x14ac:dyDescent="0.2">
      <c r="A267" s="196"/>
      <c r="B267" s="109"/>
      <c r="C267" s="109"/>
      <c r="D267" s="109"/>
      <c r="E267" s="109"/>
      <c r="F267" s="109"/>
      <c r="G267" s="109"/>
      <c r="H267" s="109"/>
      <c r="I267" s="109"/>
      <c r="J267" s="109"/>
    </row>
    <row r="268" spans="1:10" x14ac:dyDescent="0.2">
      <c r="A268" s="196"/>
      <c r="B268" s="109"/>
      <c r="C268" s="109"/>
      <c r="D268" s="109"/>
      <c r="E268" s="109"/>
      <c r="F268" s="109"/>
      <c r="G268" s="109"/>
      <c r="H268" s="109"/>
      <c r="I268" s="109"/>
      <c r="J268" s="109"/>
    </row>
    <row r="269" spans="1:10" x14ac:dyDescent="0.2">
      <c r="A269" s="196"/>
      <c r="B269" s="109"/>
      <c r="C269" s="109"/>
      <c r="D269" s="109"/>
      <c r="E269" s="109"/>
      <c r="F269" s="109"/>
      <c r="G269" s="109"/>
      <c r="H269" s="109"/>
      <c r="I269" s="109"/>
      <c r="J269" s="109"/>
    </row>
    <row r="270" spans="1:10" x14ac:dyDescent="0.2">
      <c r="A270" s="196"/>
      <c r="B270" s="109"/>
      <c r="C270" s="109"/>
      <c r="D270" s="109"/>
      <c r="E270" s="109"/>
      <c r="F270" s="109"/>
      <c r="G270" s="109"/>
      <c r="H270" s="109"/>
      <c r="I270" s="109"/>
      <c r="J270" s="109"/>
    </row>
    <row r="271" spans="1:10" x14ac:dyDescent="0.2">
      <c r="A271" s="196"/>
      <c r="B271" s="109"/>
      <c r="C271" s="109"/>
      <c r="D271" s="109"/>
      <c r="E271" s="109"/>
      <c r="F271" s="109"/>
      <c r="G271" s="109"/>
      <c r="H271" s="109"/>
      <c r="I271" s="109"/>
      <c r="J271" s="109"/>
    </row>
    <row r="272" spans="1:10" x14ac:dyDescent="0.2">
      <c r="A272" s="196"/>
      <c r="B272" s="109"/>
      <c r="C272" s="109"/>
      <c r="D272" s="109"/>
      <c r="E272" s="109"/>
      <c r="F272" s="109"/>
      <c r="G272" s="109"/>
      <c r="H272" s="109"/>
      <c r="I272" s="109"/>
      <c r="J272" s="109"/>
    </row>
  </sheetData>
  <sheetProtection selectLockedCells="1" selectUnlockedCells="1"/>
  <mergeCells count="37">
    <mergeCell ref="H7:I7"/>
    <mergeCell ref="H8:I8"/>
    <mergeCell ref="H9:I9"/>
    <mergeCell ref="H10:I10"/>
    <mergeCell ref="H11:I11"/>
    <mergeCell ref="H16:I16"/>
    <mergeCell ref="B16:G16"/>
    <mergeCell ref="H143:J143"/>
    <mergeCell ref="H144:J144"/>
    <mergeCell ref="G145:H145"/>
    <mergeCell ref="H17:I17"/>
    <mergeCell ref="H18:I18"/>
    <mergeCell ref="H141:J141"/>
    <mergeCell ref="D140:F140"/>
    <mergeCell ref="H140:J140"/>
    <mergeCell ref="B17:G17"/>
    <mergeCell ref="B13:E13"/>
    <mergeCell ref="H13:I13"/>
    <mergeCell ref="H14:J14"/>
    <mergeCell ref="B15:G15"/>
    <mergeCell ref="H15:I15"/>
    <mergeCell ref="K30:K31"/>
    <mergeCell ref="H19:I19"/>
    <mergeCell ref="H20:I20"/>
    <mergeCell ref="B21:G21"/>
    <mergeCell ref="H23:I23"/>
    <mergeCell ref="H24:I24"/>
    <mergeCell ref="A28:K28"/>
    <mergeCell ref="B26:G26"/>
    <mergeCell ref="A30:A31"/>
    <mergeCell ref="B30:B31"/>
    <mergeCell ref="C30:F30"/>
    <mergeCell ref="G30:J30"/>
    <mergeCell ref="B19:G19"/>
    <mergeCell ref="B20:G20"/>
    <mergeCell ref="B22:G22"/>
    <mergeCell ref="B24:G24"/>
  </mergeCells>
  <printOptions horizontalCentered="1"/>
  <pageMargins left="0.39370078740157483" right="0.19685039370078741" top="0.19685039370078741" bottom="0.19685039370078741" header="0.19685039370078741" footer="0.19685039370078741"/>
  <pageSetup paperSize="9" scale="48" firstPageNumber="0" orientation="landscape" horizontalDpi="300" verticalDpi="300" r:id="rId1"/>
  <headerFooter alignWithMargins="0">
    <oddHeader>&amp;C&amp;"Times New Roman,Звичайний"&amp;12&amp;A</oddHeader>
    <oddFooter>&amp;C&amp;"Times New Roman,Звичайний"&amp;12Сторінка &amp;P</oddFooter>
  </headerFooter>
  <rowBreaks count="1" manualBreakCount="1">
    <brk id="9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додаток 1 </vt:lpstr>
      <vt:lpstr>додаток 2- звіт</vt:lpstr>
      <vt:lpstr>__xlnm.Print_Titles</vt:lpstr>
      <vt:lpstr>'додаток 1 '!Заголовки_для_печати</vt:lpstr>
      <vt:lpstr>'додаток 2- звіт'!Заголовки_для_печати</vt:lpstr>
      <vt:lpstr>'додаток 1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Parkhomenko Anna</cp:lastModifiedBy>
  <cp:lastPrinted>2024-11-10T13:53:34Z</cp:lastPrinted>
  <dcterms:created xsi:type="dcterms:W3CDTF">2020-06-30T11:48:12Z</dcterms:created>
  <dcterms:modified xsi:type="dcterms:W3CDTF">2024-12-05T06:39:59Z</dcterms:modified>
</cp:coreProperties>
</file>